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bsntppfs\Rel_Investidores\NOVA REDE\1. ADMINISTRATIVO\1.17. Site\2023\4T23\Excel\"/>
    </mc:Choice>
  </mc:AlternateContent>
  <xr:revisionPtr revIDLastSave="0" documentId="13_ncr:1_{53CDB134-EEB4-470E-8340-5DCCEA01A50B}" xr6:coauthVersionLast="47" xr6:coauthVersionMax="47" xr10:uidLastSave="{00000000-0000-0000-0000-000000000000}"/>
  <bookViews>
    <workbookView xWindow="28690" yWindow="-110" windowWidth="29020" windowHeight="15700" tabRatio="761" firstSheet="6" activeTab="13" xr2:uid="{CFC94578-2FA0-4B04-9A8D-34E4B2CF837B}"/>
  </bookViews>
  <sheets>
    <sheet name="Receita" sheetId="1" r:id="rId1"/>
    <sheet name="Custos e Despesas" sheetId="2" r:id="rId2"/>
    <sheet name="Equivalência Patrimonial" sheetId="3" r:id="rId3"/>
    <sheet name="DRE Reg" sheetId="4" r:id="rId4"/>
    <sheet name="DFC Reg" sheetId="5" r:id="rId5"/>
    <sheet name="Balanço Reg" sheetId="6" r:id="rId6"/>
    <sheet name="Dívida_Consolidado" sheetId="7" r:id="rId7"/>
    <sheet name="Dívida_Coligadas" sheetId="8" r:id="rId8"/>
    <sheet name="Amortização" sheetId="9" r:id="rId9"/>
    <sheet name="DRE IFRS" sheetId="10" r:id="rId10"/>
    <sheet name="DRE IFRS (DFP)" sheetId="11" r:id="rId11"/>
    <sheet name="Balanço IFRS (DFP)" sheetId="12" r:id="rId12"/>
    <sheet name="Balanço IFRS" sheetId="13" r:id="rId13"/>
    <sheet name="DFC IFRS" sheetId="14" r:id="rId14"/>
  </sheets>
  <externalReferences>
    <externalReference r:id="rId15"/>
    <externalReference r:id="rId16"/>
    <externalReference r:id="rId17"/>
  </externalReferences>
  <definedNames>
    <definedName name="___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bb1" localSheetId="1" hidden="1">{#N/A,#N/A,FALSE,"ENERGIA";#N/A,#N/A,FALSE,"PERDIDAS";#N/A,#N/A,FALSE,"CLIENTES";#N/A,#N/A,FALSE,"ESTADO";#N/A,#N/A,FALSE,"TECNICA"}</definedName>
    <definedName name="____bb1" localSheetId="7" hidden="1">{#N/A,#N/A,FALSE,"ENERGIA";#N/A,#N/A,FALSE,"PERDIDAS";#N/A,#N/A,FALSE,"CLIENTES";#N/A,#N/A,FALSE,"ESTADO";#N/A,#N/A,FALSE,"TECNICA"}</definedName>
    <definedName name="____bb1" localSheetId="6" hidden="1">{#N/A,#N/A,FALSE,"ENERGIA";#N/A,#N/A,FALSE,"PERDIDAS";#N/A,#N/A,FALSE,"CLIENTES";#N/A,#N/A,FALSE,"ESTADO";#N/A,#N/A,FALSE,"TECNICA"}</definedName>
    <definedName name="___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e1" localSheetId="1" hidden="1">{#N/A,#N/A,FALSE,"ENERGIA";#N/A,#N/A,FALSE,"PERDIDAS";#N/A,#N/A,FALSE,"CLIENTES";#N/A,#N/A,FALSE,"ESTADO";#N/A,#N/A,FALSE,"TECNICA"}</definedName>
    <definedName name="____e1" localSheetId="7" hidden="1">{#N/A,#N/A,FALSE,"ENERGIA";#N/A,#N/A,FALSE,"PERDIDAS";#N/A,#N/A,FALSE,"CLIENTES";#N/A,#N/A,FALSE,"ESTADO";#N/A,#N/A,FALSE,"TECNICA"}</definedName>
    <definedName name="____e1" localSheetId="6" hidden="1">{#N/A,#N/A,FALSE,"ENERGIA";#N/A,#N/A,FALSE,"PERDIDAS";#N/A,#N/A,FALSE,"CLIENTES";#N/A,#N/A,FALSE,"ESTADO";#N/A,#N/A,FALSE,"TECNICA"}</definedName>
    <definedName name="__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bb1" localSheetId="1" hidden="1">{#N/A,#N/A,FALSE,"ENERGIA";#N/A,#N/A,FALSE,"PERDIDAS";#N/A,#N/A,FALSE,"CLIENTES";#N/A,#N/A,FALSE,"ESTADO";#N/A,#N/A,FALSE,"TECNICA"}</definedName>
    <definedName name="___bb1" localSheetId="7" hidden="1">{#N/A,#N/A,FALSE,"ENERGIA";#N/A,#N/A,FALSE,"PERDIDAS";#N/A,#N/A,FALSE,"CLIENTES";#N/A,#N/A,FALSE,"ESTADO";#N/A,#N/A,FALSE,"TECNICA"}</definedName>
    <definedName name="___bb1" localSheetId="6" hidden="1">{#N/A,#N/A,FALSE,"ENERGIA";#N/A,#N/A,FALSE,"PERDIDAS";#N/A,#N/A,FALSE,"CLIENTES";#N/A,#N/A,FALSE,"ESTADO";#N/A,#N/A,FALSE,"TECNICA"}</definedName>
    <definedName name="__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e1" localSheetId="1" hidden="1">{#N/A,#N/A,FALSE,"ENERGIA";#N/A,#N/A,FALSE,"PERDIDAS";#N/A,#N/A,FALSE,"CLIENTES";#N/A,#N/A,FALSE,"ESTADO";#N/A,#N/A,FALSE,"TECNICA"}</definedName>
    <definedName name="___e1" localSheetId="7" hidden="1">{#N/A,#N/A,FALSE,"ENERGIA";#N/A,#N/A,FALSE,"PERDIDAS";#N/A,#N/A,FALSE,"CLIENTES";#N/A,#N/A,FALSE,"ESTADO";#N/A,#N/A,FALSE,"TECNICA"}</definedName>
    <definedName name="___e1" localSheetId="6" hidden="1">{#N/A,#N/A,FALSE,"ENERGIA";#N/A,#N/A,FALSE,"PERDIDAS";#N/A,#N/A,FALSE,"CLIENTES";#N/A,#N/A,FALSE,"ESTADO";#N/A,#N/A,FALSE,"TECNICA"}</definedName>
    <definedName name="__123Graph_A" localSheetId="1" hidden="1">[1]Mercado!#REF!</definedName>
    <definedName name="__123Graph_A" hidden="1">[1]Mercado!#REF!</definedName>
    <definedName name="__123Graph_ACOMPARA" localSheetId="1" hidden="1">[1]Mercado!#REF!</definedName>
    <definedName name="__123Graph_ACOMPARA" hidden="1">#REF!</definedName>
    <definedName name="__123Graph_ACONSMED" hidden="1">#REF!</definedName>
    <definedName name="__123Graph_APREVRCOM" localSheetId="1" hidden="1">#REF!</definedName>
    <definedName name="__123Graph_APREVRCOM" localSheetId="7" hidden="1">#REF!</definedName>
    <definedName name="__123Graph_APREVRCOM" localSheetId="6" hidden="1">#REF!</definedName>
    <definedName name="__123Graph_APREVREALI" localSheetId="1" hidden="1">#REF!</definedName>
    <definedName name="__123Graph_APREVREALI" localSheetId="7" hidden="1">#REF!</definedName>
    <definedName name="__123Graph_APREVREALI" localSheetId="6" hidden="1">#REF!</definedName>
    <definedName name="__123Graph_APREVRIND" localSheetId="1" hidden="1">#REF!</definedName>
    <definedName name="__123Graph_APREVRIND" localSheetId="7" hidden="1">#REF!</definedName>
    <definedName name="__123Graph_APREVRIND" localSheetId="6" hidden="1">#REF!</definedName>
    <definedName name="__123Graph_APREVROUT" localSheetId="1" hidden="1">[1]Mercado!#REF!</definedName>
    <definedName name="__123Graph_APREVROUT" hidden="1">#REF!</definedName>
    <definedName name="__123Graph_APREVRRES" localSheetId="1" hidden="1">#REF!</definedName>
    <definedName name="__123Graph_APREVRRES" localSheetId="7" hidden="1">#REF!</definedName>
    <definedName name="__123Graph_APREVRRES" localSheetId="6" hidden="1">#REF!</definedName>
    <definedName name="__123Graph_APREVRTOT" localSheetId="1" hidden="1">#REF!</definedName>
    <definedName name="__123Graph_APREVRTOT" localSheetId="7" hidden="1">#REF!</definedName>
    <definedName name="__123Graph_APREVRTOT" localSheetId="6" hidden="1">#REF!</definedName>
    <definedName name="__123Graph_B" localSheetId="1" hidden="1">#REF!</definedName>
    <definedName name="__123Graph_B" localSheetId="7" hidden="1">#REF!</definedName>
    <definedName name="__123Graph_B" localSheetId="6" hidden="1">#REF!</definedName>
    <definedName name="__123Graph_BCOMPARA" localSheetId="1" hidden="1">#REF!</definedName>
    <definedName name="__123Graph_BCOMPARA" localSheetId="7" hidden="1">#REF!</definedName>
    <definedName name="__123Graph_BCOMPARA" localSheetId="6" hidden="1">#REF!</definedName>
    <definedName name="__123Graph_BPREVREALI" localSheetId="1" hidden="1">#REF!</definedName>
    <definedName name="__123Graph_BPREVREALI" localSheetId="7" hidden="1">#REF!</definedName>
    <definedName name="__123Graph_BPREVREALI" localSheetId="6" hidden="1">#REF!</definedName>
    <definedName name="__123Graph_CPREVREALI" localSheetId="1" hidden="1">#REF!</definedName>
    <definedName name="__123Graph_CPREVREALI" localSheetId="7" hidden="1">#REF!</definedName>
    <definedName name="__123Graph_CPREVREALI" localSheetId="6" hidden="1">#REF!</definedName>
    <definedName name="__123Graph_D" localSheetId="1" hidden="1">#REF!</definedName>
    <definedName name="__123Graph_D" localSheetId="7" hidden="1">#REF!</definedName>
    <definedName name="__123Graph_D" localSheetId="6" hidden="1">#REF!</definedName>
    <definedName name="__123Graph_DCOMPARA" localSheetId="1" hidden="1">#REF!</definedName>
    <definedName name="__123Graph_DCOMPARA" localSheetId="7" hidden="1">#REF!</definedName>
    <definedName name="__123Graph_DCOMPARA" localSheetId="6" hidden="1">#REF!</definedName>
    <definedName name="__123Graph_DPREVREALI" localSheetId="1" hidden="1">[1]Mercado!#REF!</definedName>
    <definedName name="__123Graph_DPREVREALI" hidden="1">#REF!</definedName>
    <definedName name="__123Graph_EPREVREALI" localSheetId="1" hidden="1">#REF!</definedName>
    <definedName name="__123Graph_EPREVREALI" localSheetId="7" hidden="1">#REF!</definedName>
    <definedName name="__123Graph_EPREVREALI" localSheetId="6" hidden="1">#REF!</definedName>
    <definedName name="__123Graph_F" localSheetId="1" hidden="1">#REF!</definedName>
    <definedName name="__123Graph_F" localSheetId="7" hidden="1">#REF!</definedName>
    <definedName name="__123Graph_F" localSheetId="6" hidden="1">#REF!</definedName>
    <definedName name="__123Graph_FCOMPARA" localSheetId="1" hidden="1">#REF!</definedName>
    <definedName name="__123Graph_FCOMPARA" localSheetId="7" hidden="1">#REF!</definedName>
    <definedName name="__123Graph_FCOMPARA" localSheetId="6" hidden="1">#REF!</definedName>
    <definedName name="__123Graph_XCONSMED" localSheetId="1" hidden="1">[1]Mercado!#REF!</definedName>
    <definedName name="__123Graph_XCONSMED" hidden="1">#REF!</definedName>
    <definedName name="__123Graph_XELASTIC" localSheetId="1" hidden="1">[1]Mercado!#REF!</definedName>
    <definedName name="__123Graph_XELASTIC" hidden="1">#REF!</definedName>
    <definedName name="__123Graph_XPREVRCOM" localSheetId="1" hidden="1">[1]Mercado!#REF!</definedName>
    <definedName name="__123Graph_XPREVRCOM" hidden="1">#REF!</definedName>
    <definedName name="__123Graph_XPREVREALI" localSheetId="1" hidden="1">[1]Mercado!#REF!</definedName>
    <definedName name="__123Graph_XPREVREALI" hidden="1">#REF!</definedName>
    <definedName name="__123Graph_XPREVRIND" hidden="1">#REF!</definedName>
    <definedName name="__123Graph_XPREVROUT" hidden="1">#REF!</definedName>
    <definedName name="__123Graph_XPREVRRES" hidden="1">#REF!</definedName>
    <definedName name="__123Graph_XPREVRTOT" hidden="1">#REF!</definedName>
    <definedName name="_10__123Graph_ACHART_16" hidden="1">#REF!</definedName>
    <definedName name="_10__123Graph_ACHART_17" hidden="1">#REF!</definedName>
    <definedName name="_10__123Graph_CCHART_1" localSheetId="1" hidden="1">#REF!</definedName>
    <definedName name="_10__123Graph_CCHART_1" localSheetId="7" hidden="1">#REF!</definedName>
    <definedName name="_10__123Graph_CCHART_1" localSheetId="6" hidden="1">#REF!</definedName>
    <definedName name="_11__123Graph_ACHART_17" hidden="1">#REF!</definedName>
    <definedName name="_11__123Graph_ACHART_18" hidden="1">#REF!</definedName>
    <definedName name="_12__123Graph_ACHART_18" hidden="1">#REF!</definedName>
    <definedName name="_12__123Graph_ACHART_2" hidden="1">#REF!</definedName>
    <definedName name="_12__123Graph_LBL_ACHART_1" localSheetId="1" hidden="1">#REF!</definedName>
    <definedName name="_12__123Graph_LBL_ACHART_1" localSheetId="7" hidden="1">#REF!</definedName>
    <definedName name="_12__123Graph_LBL_ACHART_1" localSheetId="6" hidden="1">#REF!</definedName>
    <definedName name="_13__123Graph_ACHART_2" hidden="1">#REF!</definedName>
    <definedName name="_13__123Graph_ACHART_22" hidden="1">#REF!</definedName>
    <definedName name="_14__123Graph_ACHART_22" hidden="1">#REF!</definedName>
    <definedName name="_14__123Graph_ACHART_23" hidden="1">#REF!</definedName>
    <definedName name="_15__123Graph_ACHART_23" hidden="1">#REF!</definedName>
    <definedName name="_15__123Graph_ACHART_24" hidden="1">#REF!</definedName>
    <definedName name="_16___123Graph_XCHART_1" hidden="1">#REF!</definedName>
    <definedName name="_16__123Graph_ACHART_24" hidden="1">#REF!</definedName>
    <definedName name="_16__123Graph_ACHART_25" hidden="1">#REF!</definedName>
    <definedName name="_17___123Graph_XCHART_3" hidden="1">#REF!</definedName>
    <definedName name="_17__123Graph_ACHART_25" hidden="1">#REF!</definedName>
    <definedName name="_17__123Graph_ACHART_26" hidden="1">#REF!</definedName>
    <definedName name="_18__123Graph_ACHART_26" hidden="1">#REF!</definedName>
    <definedName name="_18__123Graph_ACHART_27" hidden="1">#REF!</definedName>
    <definedName name="_19__123Graph_ACHART_27" hidden="1">#REF!</definedName>
    <definedName name="_19__123Graph_ACHART_28" hidden="1">#REF!</definedName>
    <definedName name="_19__123Graph_XCHART_4" localSheetId="1" hidden="1">#REF!</definedName>
    <definedName name="_19__123Graph_XCHART_4" localSheetId="7" hidden="1">#REF!</definedName>
    <definedName name="_19__123Graph_XCHART_4" localSheetId="6" hidden="1">#REF!</definedName>
    <definedName name="_2__123Graph_ACHART_1" hidden="1">#REF!</definedName>
    <definedName name="_20__123Graph_ACHART_28" hidden="1">#REF!</definedName>
    <definedName name="_20__123Graph_ACHART_29" hidden="1">#REF!</definedName>
    <definedName name="_20__123Graph_XCHART_5" localSheetId="1" hidden="1">#REF!</definedName>
    <definedName name="_20__123Graph_XCHART_5" localSheetId="7" hidden="1">#REF!</definedName>
    <definedName name="_20__123Graph_XCHART_5" localSheetId="6" hidden="1">#REF!</definedName>
    <definedName name="_21__123Graph_ACHART_29" hidden="1">#REF!</definedName>
    <definedName name="_21__123Graph_ACHART_3" hidden="1">#REF!</definedName>
    <definedName name="_21__123Graph_XCHART_6" localSheetId="1" hidden="1">#REF!</definedName>
    <definedName name="_21__123Graph_XCHART_6" localSheetId="7" hidden="1">#REF!</definedName>
    <definedName name="_21__123Graph_XCHART_6" localSheetId="6" hidden="1">#REF!</definedName>
    <definedName name="_22__123Graph_ACHART_3" hidden="1">#REF!</definedName>
    <definedName name="_22__123Graph_ACHART_30" hidden="1">#REF!</definedName>
    <definedName name="_22__123Graph_XCHART_7" localSheetId="1" hidden="1">#REF!</definedName>
    <definedName name="_22__123Graph_XCHART_7" localSheetId="7" hidden="1">#REF!</definedName>
    <definedName name="_22__123Graph_XCHART_7" localSheetId="6" hidden="1">#REF!</definedName>
    <definedName name="_23__123Graph_ACHART_30" hidden="1">#REF!</definedName>
    <definedName name="_23__123Graph_ACHART_4" hidden="1">#REF!</definedName>
    <definedName name="_24__123Graph_ACHART_4" hidden="1">#REF!</definedName>
    <definedName name="_24__123Graph_ACHART_5" hidden="1">#REF!</definedName>
    <definedName name="_25__123Graph_ACHART_5" hidden="1">#REF!</definedName>
    <definedName name="_25__123Graph_ACHART_6" hidden="1">#REF!</definedName>
    <definedName name="_26__123Graph_ACHART_6" hidden="1">#REF!</definedName>
    <definedName name="_26__123Graph_ACHART_7" hidden="1">#REF!</definedName>
    <definedName name="_27__123Graph_ACHART_7" hidden="1">#REF!</definedName>
    <definedName name="_27__123Graph_ACHART_8" hidden="1">#REF!</definedName>
    <definedName name="_28__123Graph_ACHART_8" hidden="1">#REF!</definedName>
    <definedName name="_28__123Graph_ACHART_9" hidden="1">#REF!</definedName>
    <definedName name="_29__123Graph_ACHART_9" hidden="1">#REF!</definedName>
    <definedName name="_29__123Graph_BCHART_1" hidden="1">#REF!</definedName>
    <definedName name="_3__123Graph_ACHART_1" hidden="1">#REF!</definedName>
    <definedName name="_3__123Graph_ACHART_10" hidden="1">#REF!</definedName>
    <definedName name="_3__123Graph_ACHART_4" localSheetId="1" hidden="1">#REF!</definedName>
    <definedName name="_3__123Graph_ACHART_4" localSheetId="7" hidden="1">#REF!</definedName>
    <definedName name="_3__123Graph_ACHART_4" localSheetId="6" hidden="1">#REF!</definedName>
    <definedName name="_30__123Graph_BCHART_1" hidden="1">#REF!</definedName>
    <definedName name="_30__123Graph_BCHART_10" hidden="1">#REF!</definedName>
    <definedName name="_31__123Graph_BCHART_10" hidden="1">#REF!</definedName>
    <definedName name="_31__123Graph_BCHART_11" hidden="1">#REF!</definedName>
    <definedName name="_32__123Graph_BCHART_11" hidden="1">#REF!</definedName>
    <definedName name="_32__123Graph_BCHART_12" hidden="1">#REF!</definedName>
    <definedName name="_33__123Graph_BCHART_12" hidden="1">#REF!</definedName>
    <definedName name="_33__123Graph_BCHART_13" hidden="1">#REF!</definedName>
    <definedName name="_34__123Graph_BCHART_13" hidden="1">#REF!</definedName>
    <definedName name="_34__123Graph_BCHART_14" hidden="1">#REF!</definedName>
    <definedName name="_35__123Graph_BCHART_14" hidden="1">#REF!</definedName>
    <definedName name="_35__123Graph_BCHART_15" hidden="1">#REF!</definedName>
    <definedName name="_36__123Graph_BCHART_15" hidden="1">#REF!</definedName>
    <definedName name="_36__123Graph_BCHART_16" hidden="1">#REF!</definedName>
    <definedName name="_37__123Graph_BCHART_16" hidden="1">#REF!</definedName>
    <definedName name="_37__123Graph_BCHART_17" hidden="1">#REF!</definedName>
    <definedName name="_38__123Graph_BCHART_17" hidden="1">#REF!</definedName>
    <definedName name="_38__123Graph_BCHART_18" hidden="1">#REF!</definedName>
    <definedName name="_39__123Graph_BCHART_18" hidden="1">#REF!</definedName>
    <definedName name="_39__123Graph_BCHART_2" hidden="1">#REF!</definedName>
    <definedName name="_4__123Graph_ACHART_10" hidden="1">#REF!</definedName>
    <definedName name="_4__123Graph_ACHART_11" hidden="1">#REF!</definedName>
    <definedName name="_4__123Graph_ACHART_5" localSheetId="1" hidden="1">#REF!</definedName>
    <definedName name="_4__123Graph_ACHART_5" localSheetId="7" hidden="1">#REF!</definedName>
    <definedName name="_4__123Graph_ACHART_5" localSheetId="6" hidden="1">#REF!</definedName>
    <definedName name="_40__123Graph_BCHART_2" hidden="1">#REF!</definedName>
    <definedName name="_40__123Graph_BCHART_22" hidden="1">#REF!</definedName>
    <definedName name="_41__123Graph_BCHART_22" hidden="1">#REF!</definedName>
    <definedName name="_41__123Graph_BCHART_23" hidden="1">#REF!</definedName>
    <definedName name="_42__123Graph_BCHART_23" hidden="1">#REF!</definedName>
    <definedName name="_42__123Graph_BCHART_24" hidden="1">#REF!</definedName>
    <definedName name="_43__123Graph_BCHART_24" hidden="1">#REF!</definedName>
    <definedName name="_43__123Graph_BCHART_25" hidden="1">#REF!</definedName>
    <definedName name="_44__123Graph_BCHART_25" hidden="1">#REF!</definedName>
    <definedName name="_44__123Graph_BCHART_26" hidden="1">#REF!</definedName>
    <definedName name="_45__123Graph_BCHART_26" hidden="1">#REF!</definedName>
    <definedName name="_45__123Graph_BCHART_27" hidden="1">#REF!</definedName>
    <definedName name="_46__123Graph_BCHART_27" hidden="1">#REF!</definedName>
    <definedName name="_46__123Graph_BCHART_28" hidden="1">#REF!</definedName>
    <definedName name="_47__123Graph_BCHART_28" hidden="1">#REF!</definedName>
    <definedName name="_47__123Graph_BCHART_29" hidden="1">#REF!</definedName>
    <definedName name="_48__123Graph_BCHART_29" hidden="1">#REF!</definedName>
    <definedName name="_48__123Graph_BCHART_3" hidden="1">#REF!</definedName>
    <definedName name="_49__123Graph_BCHART_3" hidden="1">#REF!</definedName>
    <definedName name="_49__123Graph_BCHART_30" hidden="1">#REF!</definedName>
    <definedName name="_5__123Graph_ACHART_11" hidden="1">#REF!</definedName>
    <definedName name="_5__123Graph_ACHART_12" hidden="1">#REF!</definedName>
    <definedName name="_5__123Graph_ACHART_6" localSheetId="1" hidden="1">#REF!</definedName>
    <definedName name="_5__123Graph_ACHART_6" localSheetId="7" hidden="1">#REF!</definedName>
    <definedName name="_5__123Graph_ACHART_6" localSheetId="6" hidden="1">#REF!</definedName>
    <definedName name="_50__123Graph_BCHART_30" hidden="1">#REF!</definedName>
    <definedName name="_50__123Graph_BCHART_4" hidden="1">#REF!</definedName>
    <definedName name="_51__123Graph_BCHART_4" hidden="1">#REF!</definedName>
    <definedName name="_51__123Graph_BCHART_5" hidden="1">#REF!</definedName>
    <definedName name="_52__123Graph_BCHART_5" hidden="1">#REF!</definedName>
    <definedName name="_52__123Graph_BCHART_6" hidden="1">#REF!</definedName>
    <definedName name="_53__123Graph_BCHART_6" hidden="1">#REF!</definedName>
    <definedName name="_53__123Graph_BCHART_7" hidden="1">#REF!</definedName>
    <definedName name="_54__123Graph_BCHART_7" hidden="1">#REF!</definedName>
    <definedName name="_54__123Graph_BCHART_8" hidden="1">#REF!</definedName>
    <definedName name="_55__123Graph_BCHART_8" hidden="1">#REF!</definedName>
    <definedName name="_55__123Graph_BCHART_9" hidden="1">#REF!</definedName>
    <definedName name="_56__123Graph_BCHART_9" hidden="1">#REF!</definedName>
    <definedName name="_56__123Graph_CCHART_25" hidden="1">#REF!</definedName>
    <definedName name="_57__123Graph_CCHART_25" hidden="1">#REF!</definedName>
    <definedName name="_57__123Graph_CCHART_26" hidden="1">#REF!</definedName>
    <definedName name="_58__123Graph_CCHART_26" hidden="1">#REF!</definedName>
    <definedName name="_58__123Graph_CCHART_27" hidden="1">#REF!</definedName>
    <definedName name="_59__123Graph_CCHART_27" hidden="1">#REF!</definedName>
    <definedName name="_59__123Graph_CCHART_28" hidden="1">#REF!</definedName>
    <definedName name="_6__123Graph_ACHART_12" hidden="1">#REF!</definedName>
    <definedName name="_6__123Graph_ACHART_13" hidden="1">#REF!</definedName>
    <definedName name="_6__123Graph_ACHART_7" localSheetId="1" hidden="1">#REF!</definedName>
    <definedName name="_6__123Graph_ACHART_7" localSheetId="7" hidden="1">#REF!</definedName>
    <definedName name="_6__123Graph_ACHART_7" localSheetId="6" hidden="1">#REF!</definedName>
    <definedName name="_60__123Graph_CCHART_28" hidden="1">#REF!</definedName>
    <definedName name="_60__123Graph_CCHART_29" hidden="1">#REF!</definedName>
    <definedName name="_61__123Graph_CCHART_29" hidden="1">#REF!</definedName>
    <definedName name="_61__123Graph_CCHART_30" hidden="1">#REF!</definedName>
    <definedName name="_62__123Graph_CCHART_30" hidden="1">#REF!</definedName>
    <definedName name="_62__123Graph_DCHART_25" hidden="1">#REF!</definedName>
    <definedName name="_63__123Graph_DCHART_25" hidden="1">#REF!</definedName>
    <definedName name="_63__123Graph_DCHART_26" hidden="1">#REF!</definedName>
    <definedName name="_64__123Graph_DCHART_26" hidden="1">#REF!</definedName>
    <definedName name="_64__123Graph_DCHART_27" hidden="1">#REF!</definedName>
    <definedName name="_65__123Graph_DCHART_27" hidden="1">#REF!</definedName>
    <definedName name="_65__123Graph_DCHART_28" hidden="1">#REF!</definedName>
    <definedName name="_66__123Graph_DCHART_28" hidden="1">#REF!</definedName>
    <definedName name="_66__123Graph_DCHART_29" hidden="1">#REF!</definedName>
    <definedName name="_67__123Graph_DCHART_29" hidden="1">#REF!</definedName>
    <definedName name="_67__123Graph_DCHART_30" hidden="1">#REF!</definedName>
    <definedName name="_68__123Graph_DCHART_30" hidden="1">#REF!</definedName>
    <definedName name="_68__123Graph_XCHART_10" hidden="1">#REF!</definedName>
    <definedName name="_69__123Graph_XCHART_10" hidden="1">#REF!</definedName>
    <definedName name="_69__123Graph_XCHART_11" hidden="1">#REF!</definedName>
    <definedName name="_7__123Graph_ACHART_13" hidden="1">#REF!</definedName>
    <definedName name="_7__123Graph_ACHART_14" hidden="1">#REF!</definedName>
    <definedName name="_70__123Graph_XCHART_11" hidden="1">#REF!</definedName>
    <definedName name="_70__123Graph_XCHART_12" hidden="1">#REF!</definedName>
    <definedName name="_71__123Graph_XCHART_12" hidden="1">#REF!</definedName>
    <definedName name="_71__123Graph_XCHART_13" hidden="1">#REF!</definedName>
    <definedName name="_72__123Graph_XCHART_13" hidden="1">#REF!</definedName>
    <definedName name="_72__123Graph_XCHART_14" hidden="1">#REF!</definedName>
    <definedName name="_73__123Graph_XCHART_14" hidden="1">#REF!</definedName>
    <definedName name="_73__123Graph_XCHART_15" hidden="1">#REF!</definedName>
    <definedName name="_74__123Graph_XCHART_15" hidden="1">#REF!</definedName>
    <definedName name="_74__123Graph_XCHART_16" hidden="1">#REF!</definedName>
    <definedName name="_75__123Graph_XCHART_16" hidden="1">#REF!</definedName>
    <definedName name="_75__123Graph_XCHART_2" hidden="1">#REF!</definedName>
    <definedName name="_76__123Graph_XCHART_2" hidden="1">#REF!</definedName>
    <definedName name="_76__123Graph_XCHART_3" hidden="1">#REF!</definedName>
    <definedName name="_77__123Graph_XCHART_3" hidden="1">#REF!</definedName>
    <definedName name="_77__123Graph_XCHART_4" hidden="1">#REF!</definedName>
    <definedName name="_78__123Graph_XCHART_4" hidden="1">#REF!</definedName>
    <definedName name="_78__123Graph_XCHART_5" hidden="1">#REF!</definedName>
    <definedName name="_79__123Graph_XCHART_5" hidden="1">#REF!</definedName>
    <definedName name="_79__123Graph_XCHART_6" hidden="1">#REF!</definedName>
    <definedName name="_8__123Graph_ACHART_14" hidden="1">#REF!</definedName>
    <definedName name="_8__123Graph_ACHART_15" hidden="1">#REF!</definedName>
    <definedName name="_8__123Graph_BCHART_1" localSheetId="1" hidden="1">#REF!</definedName>
    <definedName name="_8__123Graph_BCHART_1" localSheetId="7" hidden="1">#REF!</definedName>
    <definedName name="_8__123Graph_BCHART_1" localSheetId="6" hidden="1">#REF!</definedName>
    <definedName name="_80__123Graph_XCHART_6" hidden="1">#REF!</definedName>
    <definedName name="_80__123Graph_XCHART_7" hidden="1">#REF!</definedName>
    <definedName name="_81__123Graph_XCHART_7" hidden="1">#REF!</definedName>
    <definedName name="_81__123Graph_XCHART_8" hidden="1">#REF!</definedName>
    <definedName name="_82__123Graph_XCHART_8" hidden="1">#REF!</definedName>
    <definedName name="_82__123Graph_XCHART_9" hidden="1">#REF!</definedName>
    <definedName name="_83__123Graph_XCHART_9" hidden="1">#REF!</definedName>
    <definedName name="_9__123Graph_ACHART_15" hidden="1">#REF!</definedName>
    <definedName name="_9__123Graph_ACHART_16" hidden="1">#REF!</definedName>
    <definedName name="_AMO_UniqueIdentifier" hidden="1">"'7133a1c4-f9d8-4e94-ad5a-5154f8aef04a'"</definedName>
    <definedName name="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bb1" localSheetId="1" hidden="1">{#N/A,#N/A,FALSE,"ENERGIA";#N/A,#N/A,FALSE,"PERDIDAS";#N/A,#N/A,FALSE,"CLIENTES";#N/A,#N/A,FALSE,"ESTADO";#N/A,#N/A,FALSE,"TECNICA"}</definedName>
    <definedName name="_bb1" localSheetId="7" hidden="1">{#N/A,#N/A,FALSE,"ENERGIA";#N/A,#N/A,FALSE,"PERDIDAS";#N/A,#N/A,FALSE,"CLIENTES";#N/A,#N/A,FALSE,"ESTADO";#N/A,#N/A,FALSE,"TECNICA"}</definedName>
    <definedName name="_bb1" localSheetId="6" hidden="1">{#N/A,#N/A,FALSE,"ENERGIA";#N/A,#N/A,FALSE,"PERDIDAS";#N/A,#N/A,FALSE,"CLIENTES";#N/A,#N/A,FALSE,"ESTADO";#N/A,#N/A,FALSE,"TECNICA"}</definedName>
    <definedName name="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e1" localSheetId="1" hidden="1">{#N/A,#N/A,FALSE,"ENERGIA";#N/A,#N/A,FALSE,"PERDIDAS";#N/A,#N/A,FALSE,"CLIENTES";#N/A,#N/A,FALSE,"ESTADO";#N/A,#N/A,FALSE,"TECNICA"}</definedName>
    <definedName name="_e1" localSheetId="7" hidden="1">{#N/A,#N/A,FALSE,"ENERGIA";#N/A,#N/A,FALSE,"PERDIDAS";#N/A,#N/A,FALSE,"CLIENTES";#N/A,#N/A,FALSE,"ESTADO";#N/A,#N/A,FALSE,"TECNICA"}</definedName>
    <definedName name="_e1" localSheetId="6" hidden="1">{#N/A,#N/A,FALSE,"ENERGIA";#N/A,#N/A,FALSE,"PERDIDAS";#N/A,#N/A,FALSE,"CLIENTES";#N/A,#N/A,FALSE,"ESTADO";#N/A,#N/A,FALSE,"TECNICA"}</definedName>
    <definedName name="_Fill" localSheetId="1" hidden="1">#REF!</definedName>
    <definedName name="_Fill" localSheetId="7" hidden="1">#REF!</definedName>
    <definedName name="_Fill" localSheetId="6" hidden="1">#REF!</definedName>
    <definedName name="_xlnm._FilterDatabase" localSheetId="1" hidden="1">#REF!</definedName>
    <definedName name="_xlnm._FilterDatabase" localSheetId="7" hidden="1">#REF!</definedName>
    <definedName name="_xlnm._FilterDatabase" localSheetId="6" hidden="1">#REF!</definedName>
    <definedName name="_xlnm._FilterDatabase" hidden="1">#REF!</definedName>
    <definedName name="_Key1" localSheetId="1" hidden="1">#REF!</definedName>
    <definedName name="_Key1" localSheetId="7" hidden="1">#REF!</definedName>
    <definedName name="_Key1" localSheetId="6" hidden="1">#REF!</definedName>
    <definedName name="_Key2" localSheetId="1" hidden="1">#REF!</definedName>
    <definedName name="_Key2" localSheetId="7" hidden="1">#REF!</definedName>
    <definedName name="_Key2" localSheetId="6" hidden="1">#REF!</definedName>
    <definedName name="_MatInverse_In" localSheetId="1" hidden="1">#REF!</definedName>
    <definedName name="_MatInverse_In" localSheetId="7" hidden="1">#REF!</definedName>
    <definedName name="_MatInverse_In" localSheetId="6" hidden="1">#REF!</definedName>
    <definedName name="_MatInverse_Out" localSheetId="1" hidden="1">#REF!</definedName>
    <definedName name="_MatInverse_Out" localSheetId="7" hidden="1">#REF!</definedName>
    <definedName name="_MatInverse_Out" localSheetId="6" hidden="1">#REF!</definedName>
    <definedName name="_Order1" hidden="1">0</definedName>
    <definedName name="_Order2" hidden="1">255</definedName>
    <definedName name="_Regression_Out" localSheetId="1" hidden="1">'[2] PIB Brasil ( R$ de 1996 )'!#REF!</definedName>
    <definedName name="_Regression_Out" hidden="1">#REF!</definedName>
    <definedName name="_Regression_X" localSheetId="1" hidden="1">'[2] PIB Brasil ( R$ de 1996 )'!#REF!</definedName>
    <definedName name="_Regression_X" hidden="1">#REF!</definedName>
    <definedName name="_Sort" localSheetId="1" hidden="1">#REF!</definedName>
    <definedName name="_Sort" localSheetId="7" hidden="1">#REF!</definedName>
    <definedName name="_Sort" localSheetId="6" hidden="1">#REF!</definedName>
    <definedName name="_Table1_In1" localSheetId="1" hidden="1">#REF!</definedName>
    <definedName name="_Table1_In1" localSheetId="7" hidden="1">#REF!</definedName>
    <definedName name="_Table1_In1" localSheetId="6" hidden="1">#REF!</definedName>
    <definedName name="_Table1_Out" localSheetId="1" hidden="1">#REF!</definedName>
    <definedName name="_Table1_Out" localSheetId="7" hidden="1">#REF!</definedName>
    <definedName name="_Table1_Out" localSheetId="6" hidden="1">#REF!</definedName>
    <definedName name="AA" hidden="1">#REF!</definedName>
    <definedName name="aaa" localSheetId="1" hidden="1">{"'MAR'!$B$2:$Q$29","'Resumo Mensal - Consumo 2002'!$B$2:$O$29","'Resumo Mensal - Clientes 2002'!$B$2:$O$29","'Resumo Anual - Consumo'!$B$2:$H$29"}</definedName>
    <definedName name="aaa" localSheetId="7" hidden="1">{"'MAR'!$B$2:$Q$29","'Resumo Mensal - Consumo 2002'!$B$2:$O$29","'Resumo Mensal - Clientes 2002'!$B$2:$O$29","'Resumo Anual - Consumo'!$B$2:$H$29"}</definedName>
    <definedName name="aaa" localSheetId="6" hidden="1">{"'MAR'!$B$2:$Q$29","'Resumo Mensal - Consumo 2002'!$B$2:$O$29","'Resumo Mensal - Clientes 2002'!$B$2:$O$29","'Resumo Anual - Consumo'!$B$2:$H$29"}</definedName>
    <definedName name="aaaa" localSheetId="1" hidden="1">{#N/A,#N/A,FALSE,"Pag.01"}</definedName>
    <definedName name="aaaa" localSheetId="7" hidden="1">{#N/A,#N/A,FALSE,"Pag.01"}</definedName>
    <definedName name="aaaa" localSheetId="6" hidden="1">{#N/A,#N/A,FALSE,"Pag.01"}</definedName>
    <definedName name="AAAAA" hidden="1">#REF!</definedName>
    <definedName name="AAAAAA" hidden="1">#REF!</definedName>
    <definedName name="AAAAAAAAA" hidden="1">#REF!</definedName>
    <definedName name="AAXXX" localSheetId="1" hidden="1">{"'Sheet1'!$A$1:$G$85"}</definedName>
    <definedName name="AAXXX" localSheetId="7" hidden="1">{"'Sheet1'!$A$1:$G$85"}</definedName>
    <definedName name="AAXXX" localSheetId="6" hidden="1">{"'Sheet1'!$A$1:$G$85"}</definedName>
    <definedName name="anscount" hidden="1">3</definedName>
    <definedName name="AS2DocOpenMode" hidden="1">"AS2DocumentEdit"</definedName>
    <definedName name="BANCO1" localSheetId="1" hidden="1">#REF!</definedName>
    <definedName name="BANCO1" localSheetId="7" hidden="1">#REF!</definedName>
    <definedName name="BANCO1" localSheetId="6" hidden="1">#REF!</definedName>
    <definedName name="bb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osta" localSheetId="1" hidden="1">{#N/A,#N/A,FALSE,"ENERGIA";#N/A,#N/A,FALSE,"PERDIDAS";#N/A,#N/A,FALSE,"CLIENTES";#N/A,#N/A,FALSE,"ESTADO";#N/A,#N/A,FALSE,"TECNICA"}</definedName>
    <definedName name="bbosta" localSheetId="7" hidden="1">{#N/A,#N/A,FALSE,"ENERGIA";#N/A,#N/A,FALSE,"PERDIDAS";#N/A,#N/A,FALSE,"CLIENTES";#N/A,#N/A,FALSE,"ESTADO";#N/A,#N/A,FALSE,"TECNICA"}</definedName>
    <definedName name="bbosta" localSheetId="6" hidden="1">{#N/A,#N/A,FALSE,"ENERGIA";#N/A,#N/A,FALSE,"PERDIDAS";#N/A,#N/A,FALSE,"CLIENTES";#N/A,#N/A,FALSE,"ESTADO";#N/A,#N/A,FALSE,"TECNICA"}</definedName>
    <definedName name="bost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dfsagasgdfagadfgdaf" localSheetId="1" hidden="1">{#N/A,#N/A,FALSE,"ENERGIA";#N/A,#N/A,FALSE,"PERDIDAS";#N/A,#N/A,FALSE,"CLIENTES";#N/A,#N/A,FALSE,"ESTADO";#N/A,#N/A,FALSE,"TECNICA"}</definedName>
    <definedName name="dfsagasgdfagadfgdaf" localSheetId="7" hidden="1">{#N/A,#N/A,FALSE,"ENERGIA";#N/A,#N/A,FALSE,"PERDIDAS";#N/A,#N/A,FALSE,"CLIENTES";#N/A,#N/A,FALSE,"ESTADO";#N/A,#N/A,FALSE,"TECNICA"}</definedName>
    <definedName name="dfsagasgdfagadfgdaf" localSheetId="6" hidden="1">{#N/A,#N/A,FALSE,"ENERGIA";#N/A,#N/A,FALSE,"PERDIDAS";#N/A,#N/A,FALSE,"CLIENTES";#N/A,#N/A,FALSE,"ESTADO";#N/A,#N/A,FALSE,"TECNICA"}</definedName>
    <definedName name="equi" localSheetId="1" hidden="1">{#N/A,#N/A,FALSE,"Pag.01"}</definedName>
    <definedName name="equi" localSheetId="7" hidden="1">{#N/A,#N/A,FALSE,"Pag.01"}</definedName>
    <definedName name="equi" localSheetId="6" hidden="1">{#N/A,#N/A,FALSE,"Pag.01"}</definedName>
    <definedName name="F" localSheetId="1" hidden="1">#REF!</definedName>
    <definedName name="F" localSheetId="7" hidden="1">#REF!</definedName>
    <definedName name="F" localSheetId="6" hidden="1">#REF!</definedName>
    <definedName name="FCL" localSheetId="1" hidden="1">{"'Sheet1'!$A$1:$G$85"}</definedName>
    <definedName name="FCL" localSheetId="7" hidden="1">{"'Sheet1'!$A$1:$G$85"}</definedName>
    <definedName name="FCL" localSheetId="6" hidden="1">{"'Sheet1'!$A$1:$G$85"}</definedName>
    <definedName name="ff" localSheetId="1" hidden="1">{#N/A,#N/A,FALSE,"ENERGIA";#N/A,#N/A,FALSE,"PERDIDAS";#N/A,#N/A,FALSE,"CLIENTES";#N/A,#N/A,FALSE,"ESTADO";#N/A,#N/A,FALSE,"TECNICA"}</definedName>
    <definedName name="ff" localSheetId="7" hidden="1">{#N/A,#N/A,FALSE,"ENERGIA";#N/A,#N/A,FALSE,"PERDIDAS";#N/A,#N/A,FALSE,"CLIENTES";#N/A,#N/A,FALSE,"ESTADO";#N/A,#N/A,FALSE,"TECNICA"}</definedName>
    <definedName name="ff" localSheetId="6" hidden="1">{#N/A,#N/A,FALSE,"ENERGIA";#N/A,#N/A,FALSE,"PERDIDAS";#N/A,#N/A,FALSE,"CLIENTES";#N/A,#N/A,FALSE,"ESTADO";#N/A,#N/A,FALSE,"TECNICA"}</definedName>
    <definedName name="fffffffffff" localSheetId="1" hidden="1">{"'Sheet1'!$A$1:$G$85"}</definedName>
    <definedName name="fffffffffff" localSheetId="7" hidden="1">{"'Sheet1'!$A$1:$G$85"}</definedName>
    <definedName name="fffffffffff" localSheetId="6" hidden="1">{"'Sheet1'!$A$1:$G$85"}</definedName>
    <definedName name="fx" localSheetId="1" hidden="1">{#N/A,#N/A,FALSE,"ENERGIA";#N/A,#N/A,FALSE,"PERDIDAS";#N/A,#N/A,FALSE,"CLIENTES";#N/A,#N/A,FALSE,"ESTADO";#N/A,#N/A,FALSE,"TECNICA"}</definedName>
    <definedName name="fx" localSheetId="7" hidden="1">{#N/A,#N/A,FALSE,"ENERGIA";#N/A,#N/A,FALSE,"PERDIDAS";#N/A,#N/A,FALSE,"CLIENTES";#N/A,#N/A,FALSE,"ESTADO";#N/A,#N/A,FALSE,"TECNICA"}</definedName>
    <definedName name="fx" localSheetId="6" hidden="1">{#N/A,#N/A,FALSE,"ENERGIA";#N/A,#N/A,FALSE,"PERDIDAS";#N/A,#N/A,FALSE,"CLIENTES";#N/A,#N/A,FALSE,"ESTADO";#N/A,#N/A,FALSE,"TECNICA"}</definedName>
    <definedName name="gggg" localSheetId="1" hidden="1">{"'Sheet1'!$A$1:$G$85"}</definedName>
    <definedName name="gggg" localSheetId="7" hidden="1">{"'Sheet1'!$A$1:$G$85"}</definedName>
    <definedName name="gggg" localSheetId="6" hidden="1">{"'Sheet1'!$A$1:$G$85"}</definedName>
    <definedName name="HTML_CodePage" hidden="1">1252</definedName>
    <definedName name="HTML_Control" localSheetId="1" hidden="1">{"'1998'!$B$2:$O$16"}</definedName>
    <definedName name="HTML_Control" localSheetId="7" hidden="1">{"'1998'!$B$2:$O$16"}</definedName>
    <definedName name="HTML_Control" localSheetId="6" hidden="1">{"'1998'!$B$2:$O$16"}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" localSheetId="1" hidden="1">{#N/A,#N/A,FALSE,"ENERGIA";#N/A,#N/A,FALSE,"PERDIDAS";#N/A,#N/A,FALSE,"CLIENTES";#N/A,#N/A,FALSE,"ESTADO";#N/A,#N/A,FALSE,"TECNICA"}</definedName>
    <definedName name="im" localSheetId="7" hidden="1">{#N/A,#N/A,FALSE,"ENERGIA";#N/A,#N/A,FALSE,"PERDIDAS";#N/A,#N/A,FALSE,"CLIENTES";#N/A,#N/A,FALSE,"ESTADO";#N/A,#N/A,FALSE,"TECNICA"}</definedName>
    <definedName name="im" localSheetId="6" hidden="1">{#N/A,#N/A,FALSE,"ENERGIA";#N/A,#N/A,FALSE,"PERDIDAS";#N/A,#N/A,FALSE,"CLIENTES";#N/A,#N/A,FALSE,"ESTADO";#N/A,#N/A,FALSE,"TECNICA"}</definedName>
    <definedName name="ime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inf" localSheetId="1" hidden="1">{"'Dados Gerais'!$A$1:$M$37"}</definedName>
    <definedName name="inf" localSheetId="7" hidden="1">{"'Dados Gerais'!$A$1:$M$37"}</definedName>
    <definedName name="inf" localSheetId="6" hidden="1">{"'Dados Gerais'!$A$1:$M$37"}</definedName>
    <definedName name="jjj" localSheetId="1" hidden="1">{"'Sheet1'!$A$1:$G$85"}</definedName>
    <definedName name="jjj" localSheetId="7" hidden="1">{"'Sheet1'!$A$1:$G$85"}</definedName>
    <definedName name="jjj" localSheetId="6" hidden="1">{"'Sheet1'!$A$1:$G$85"}</definedName>
    <definedName name="limcount" hidden="1">1</definedName>
    <definedName name="men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pp" localSheetId="1" hidden="1">{#N/A,#N/A,FALSE,"ENERGIA";#N/A,#N/A,FALSE,"PERDIDAS";#N/A,#N/A,FALSE,"CLIENTES";#N/A,#N/A,FALSE,"ESTADO";#N/A,#N/A,FALSE,"TECNICA"}</definedName>
    <definedName name="pp" localSheetId="7" hidden="1">{#N/A,#N/A,FALSE,"ENERGIA";#N/A,#N/A,FALSE,"PERDIDAS";#N/A,#N/A,FALSE,"CLIENTES";#N/A,#N/A,FALSE,"ESTADO";#N/A,#N/A,FALSE,"TECNICA"}</definedName>
    <definedName name="pp" localSheetId="6" hidden="1">{#N/A,#N/A,FALSE,"ENERGIA";#N/A,#N/A,FALSE,"PERDIDAS";#N/A,#N/A,FALSE,"CLIENTES";#N/A,#N/A,FALSE,"ESTADO";#N/A,#N/A,FALSE,"TECNICA"}</definedName>
    <definedName name="R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R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R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RBTESTE" localSheetId="1" hidden="1">{#N/A,#N/A,FALSE,"ENERGIA";#N/A,#N/A,FALSE,"PERDIDAS";#N/A,#N/A,FALSE,"CLIENTES";#N/A,#N/A,FALSE,"ESTADO";#N/A,#N/A,FALSE,"TECNICA"}</definedName>
    <definedName name="RBTESTE" localSheetId="7" hidden="1">{#N/A,#N/A,FALSE,"ENERGIA";#N/A,#N/A,FALSE,"PERDIDAS";#N/A,#N/A,FALSE,"CLIENTES";#N/A,#N/A,FALSE,"ESTADO";#N/A,#N/A,FALSE,"TECNICA"}</definedName>
    <definedName name="RBTESTE" localSheetId="6" hidden="1">{#N/A,#N/A,FALSE,"ENERGIA";#N/A,#N/A,FALSE,"PERDIDAS";#N/A,#N/A,FALSE,"CLIENTES";#N/A,#N/A,FALSE,"ESTADO";#N/A,#N/A,FALSE,"TECNICA"}</definedName>
    <definedName name="s" localSheetId="1" hidden="1">#REF!</definedName>
    <definedName name="s" localSheetId="7" hidden="1">#REF!</definedName>
    <definedName name="s" localSheetId="6" hidden="1">#REF!</definedName>
    <definedName name="SAPBEXhrIndnt" hidden="1">"Wide"</definedName>
    <definedName name="SAPsysID" hidden="1">"708C5W7SBKP804JT78WJ0JNKI"</definedName>
    <definedName name="SAPwbID" hidden="1">"ARS"</definedName>
    <definedName name="sencount" hidden="1">2</definedName>
    <definedName name="solver_lin" hidden="1">0</definedName>
    <definedName name="teste2" localSheetId="1" hidden="1">[3]Mercado!#REF!</definedName>
    <definedName name="teste2" localSheetId="7" hidden="1">[3]Mercado!#REF!</definedName>
    <definedName name="teste2" localSheetId="6" hidden="1">[3]Mercado!#REF!</definedName>
    <definedName name="u" localSheetId="1" hidden="1">{#N/A,#N/A,FALSE,"Pag.01"}</definedName>
    <definedName name="u" localSheetId="7" hidden="1">{#N/A,#N/A,FALSE,"Pag.01"}</definedName>
    <definedName name="u" localSheetId="6" hidden="1">{#N/A,#N/A,FALSE,"Pag.01"}</definedName>
    <definedName name="wacc" localSheetId="1" hidden="1">{"'Sheet1'!$A$1:$G$85"}</definedName>
    <definedName name="wacc" localSheetId="7" hidden="1">{"'Sheet1'!$A$1:$G$85"}</definedName>
    <definedName name="wacc" localSheetId="6" hidden="1">{"'Sheet1'!$A$1:$G$85"}</definedName>
    <definedName name="wrn.INFMES." localSheetId="1" hidden="1">{#N/A,#N/A,FALSE,"ENERGIA";#N/A,#N/A,FALSE,"PERDIDAS";#N/A,#N/A,FALSE,"CLIENTES";#N/A,#N/A,FALSE,"ESTADO";#N/A,#N/A,FALSE,"TECNICA"}</definedName>
    <definedName name="wrn.INFMES." localSheetId="7" hidden="1">{#N/A,#N/A,FALSE,"ENERGIA";#N/A,#N/A,FALSE,"PERDIDAS";#N/A,#N/A,FALSE,"CLIENTES";#N/A,#N/A,FALSE,"ESTADO";#N/A,#N/A,FALSE,"TECNICA"}</definedName>
    <definedName name="wrn.INFMES." localSheetId="6" hidden="1">{#N/A,#N/A,FALSE,"ENERGIA";#N/A,#N/A,FALSE,"PERDIDAS";#N/A,#N/A,FALSE,"CLIENTES";#N/A,#N/A,FALSE,"ESTADO";#N/A,#N/A,FALSE,"TECNICA"}</definedName>
    <definedName name="wrn.MENSUAL.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wrn.pag.00" localSheetId="1" hidden="1">{#N/A,#N/A,FALSE,"Pag.01"}</definedName>
    <definedName name="wrn.pag.00" localSheetId="7" hidden="1">{#N/A,#N/A,FALSE,"Pag.01"}</definedName>
    <definedName name="wrn.pag.00" localSheetId="6" hidden="1">{#N/A,#N/A,FALSE,"Pag.01"}</definedName>
    <definedName name="wrn.pag.000" localSheetId="1" hidden="1">{#N/A,#N/A,FALSE,"Pag.01"}</definedName>
    <definedName name="wrn.pag.000" localSheetId="7" hidden="1">{#N/A,#N/A,FALSE,"Pag.01"}</definedName>
    <definedName name="wrn.pag.000" localSheetId="6" hidden="1">{#N/A,#N/A,FALSE,"Pag.01"}</definedName>
    <definedName name="wrn.pag.0000" localSheetId="1" hidden="1">{#N/A,#N/A,FALSE,"Pag.01"}</definedName>
    <definedName name="wrn.pag.0000" localSheetId="7" hidden="1">{#N/A,#N/A,FALSE,"Pag.01"}</definedName>
    <definedName name="wrn.pag.0000" localSheetId="6" hidden="1">{#N/A,#N/A,FALSE,"Pag.01"}</definedName>
    <definedName name="wrn.pag.00000" localSheetId="1" hidden="1">{#N/A,#N/A,FALSE,"Pag.01"}</definedName>
    <definedName name="wrn.pag.00000" localSheetId="7" hidden="1">{#N/A,#N/A,FALSE,"Pag.01"}</definedName>
    <definedName name="wrn.pag.00000" localSheetId="6" hidden="1">{#N/A,#N/A,FALSE,"Pag.01"}</definedName>
    <definedName name="wrn.pag.00001" localSheetId="1" hidden="1">{#N/A,#N/A,FALSE,"Pag.01"}</definedName>
    <definedName name="wrn.pag.00001" localSheetId="7" hidden="1">{#N/A,#N/A,FALSE,"Pag.01"}</definedName>
    <definedName name="wrn.pag.00001" localSheetId="6" hidden="1">{#N/A,#N/A,FALSE,"Pag.01"}</definedName>
    <definedName name="wrn.pag.000012" localSheetId="1" hidden="1">{#N/A,#N/A,FALSE,"Pag.01"}</definedName>
    <definedName name="wrn.pag.000012" localSheetId="7" hidden="1">{#N/A,#N/A,FALSE,"Pag.01"}</definedName>
    <definedName name="wrn.pag.000012" localSheetId="6" hidden="1">{#N/A,#N/A,FALSE,"Pag.01"}</definedName>
    <definedName name="WRN.PAG.01" localSheetId="1" hidden="1">{#N/A,#N/A,FALSE,"Pag.01"}</definedName>
    <definedName name="WRN.PAG.01" localSheetId="7" hidden="1">{#N/A,#N/A,FALSE,"Pag.01"}</definedName>
    <definedName name="WRN.PAG.01" localSheetId="6" hidden="1">{#N/A,#N/A,FALSE,"Pag.01"}</definedName>
    <definedName name="wrn.pag.01." localSheetId="1" hidden="1">{#N/A,#N/A,FALSE,"Pag.01"}</definedName>
    <definedName name="wrn.pag.01." localSheetId="7" hidden="1">{#N/A,#N/A,FALSE,"Pag.01"}</definedName>
    <definedName name="wrn.pag.01." localSheetId="6" hidden="1">{#N/A,#N/A,FALSE,"Pag.01"}</definedName>
    <definedName name="wrn.pag.010" localSheetId="1" hidden="1">{#N/A,#N/A,FALSE,"Pag.01"}</definedName>
    <definedName name="wrn.pag.010" localSheetId="7" hidden="1">{#N/A,#N/A,FALSE,"Pag.01"}</definedName>
    <definedName name="wrn.pag.010" localSheetId="6" hidden="1">{#N/A,#N/A,FALSE,"Pag.01"}</definedName>
    <definedName name="wrn.pag.01000" localSheetId="1" hidden="1">{#N/A,#N/A,FALSE,"Pag.01"}</definedName>
    <definedName name="wrn.pag.01000" localSheetId="7" hidden="1">{#N/A,#N/A,FALSE,"Pag.01"}</definedName>
    <definedName name="wrn.pag.01000" localSheetId="6" hidden="1">{#N/A,#N/A,FALSE,"Pag.01"}</definedName>
    <definedName name="wrn.pag.010000" localSheetId="1" hidden="1">{#N/A,#N/A,FALSE,"Pag.01"}</definedName>
    <definedName name="wrn.pag.010000" localSheetId="7" hidden="1">{#N/A,#N/A,FALSE,"Pag.01"}</definedName>
    <definedName name="wrn.pag.010000" localSheetId="6" hidden="1">{#N/A,#N/A,FALSE,"Pag.01"}</definedName>
    <definedName name="wrn.pag.0100000" localSheetId="1" hidden="1">{#N/A,#N/A,FALSE,"Pag.01"}</definedName>
    <definedName name="wrn.pag.0100000" localSheetId="7" hidden="1">{#N/A,#N/A,FALSE,"Pag.01"}</definedName>
    <definedName name="wrn.pag.0100000" localSheetId="6" hidden="1">{#N/A,#N/A,FALSE,"Pag.01"}</definedName>
    <definedName name="wrn.pag.011" localSheetId="1" hidden="1">{#N/A,#N/A,FALSE,"Pag.01"}</definedName>
    <definedName name="wrn.pag.011" localSheetId="7" hidden="1">{#N/A,#N/A,FALSE,"Pag.01"}</definedName>
    <definedName name="wrn.pag.011" localSheetId="6" hidden="1">{#N/A,#N/A,FALSE,"Pag.01"}</definedName>
    <definedName name="wrn.pag.0110" localSheetId="1" hidden="1">{#N/A,#N/A,FALSE,"Pag.01"}</definedName>
    <definedName name="wrn.pag.0110" localSheetId="7" hidden="1">{#N/A,#N/A,FALSE,"Pag.01"}</definedName>
    <definedName name="wrn.pag.0110" localSheetId="6" hidden="1">{#N/A,#N/A,FALSE,"Pag.01"}</definedName>
    <definedName name="wrn.pag.0110000" localSheetId="1" hidden="1">{#N/A,#N/A,FALSE,"Pag.01"}</definedName>
    <definedName name="wrn.pag.0110000" localSheetId="7" hidden="1">{#N/A,#N/A,FALSE,"Pag.01"}</definedName>
    <definedName name="wrn.pag.0110000" localSheetId="6" hidden="1">{#N/A,#N/A,FALSE,"Pag.01"}</definedName>
    <definedName name="wrn.pag.01200" localSheetId="1" hidden="1">{#N/A,#N/A,FALSE,"Pag.01"}</definedName>
    <definedName name="wrn.pag.01200" localSheetId="7" hidden="1">{#N/A,#N/A,FALSE,"Pag.01"}</definedName>
    <definedName name="wrn.pag.01200" localSheetId="6" hidden="1">{#N/A,#N/A,FALSE,"Pag.01"}</definedName>
    <definedName name="wrn.pag.012547" localSheetId="1" hidden="1">{#N/A,#N/A,FALSE,"Pag.01"}</definedName>
    <definedName name="wrn.pag.012547" localSheetId="7" hidden="1">{#N/A,#N/A,FALSE,"Pag.01"}</definedName>
    <definedName name="wrn.pag.012547" localSheetId="6" hidden="1">{#N/A,#N/A,FALSE,"Pag.01"}</definedName>
    <definedName name="wrn.pag.013" localSheetId="1" hidden="1">{#N/A,#N/A,FALSE,"Pag.01"}</definedName>
    <definedName name="wrn.pag.013" localSheetId="7" hidden="1">{#N/A,#N/A,FALSE,"Pag.01"}</definedName>
    <definedName name="wrn.pag.013" localSheetId="6" hidden="1">{#N/A,#N/A,FALSE,"Pag.01"}</definedName>
    <definedName name="wrn.pag.0130" localSheetId="1" hidden="1">{#N/A,#N/A,FALSE,"Pag.01"}</definedName>
    <definedName name="wrn.pag.0130" localSheetId="7" hidden="1">{#N/A,#N/A,FALSE,"Pag.01"}</definedName>
    <definedName name="wrn.pag.0130" localSheetId="6" hidden="1">{#N/A,#N/A,FALSE,"Pag.01"}</definedName>
    <definedName name="wrn.pag.0130000" localSheetId="1" hidden="1">{#N/A,#N/A,FALSE,"Pag.01"}</definedName>
    <definedName name="wrn.pag.0130000" localSheetId="7" hidden="1">{#N/A,#N/A,FALSE,"Pag.01"}</definedName>
    <definedName name="wrn.pag.0130000" localSheetId="6" hidden="1">{#N/A,#N/A,FALSE,"Pag.01"}</definedName>
    <definedName name="wrn.pag.014" localSheetId="1" hidden="1">{#N/A,#N/A,FALSE,"Pag.01"}</definedName>
    <definedName name="wrn.pag.014" localSheetId="7" hidden="1">{#N/A,#N/A,FALSE,"Pag.01"}</definedName>
    <definedName name="wrn.pag.014" localSheetId="6" hidden="1">{#N/A,#N/A,FALSE,"Pag.01"}</definedName>
    <definedName name="wrn.pag.0140" localSheetId="1" hidden="1">{#N/A,#N/A,FALSE,"Pag.01"}</definedName>
    <definedName name="wrn.pag.0140" localSheetId="7" hidden="1">{#N/A,#N/A,FALSE,"Pag.01"}</definedName>
    <definedName name="wrn.pag.0140" localSheetId="6" hidden="1">{#N/A,#N/A,FALSE,"Pag.01"}</definedName>
    <definedName name="wrn.pag.0140000" localSheetId="1" hidden="1">{#N/A,#N/A,FALSE,"Pag.01"}</definedName>
    <definedName name="wrn.pag.0140000" localSheetId="7" hidden="1">{#N/A,#N/A,FALSE,"Pag.01"}</definedName>
    <definedName name="wrn.pag.0140000" localSheetId="6" hidden="1">{#N/A,#N/A,FALSE,"Pag.01"}</definedName>
    <definedName name="wrn.pag.0140563" localSheetId="1" hidden="1">{#N/A,#N/A,FALSE,"Pag.01"}</definedName>
    <definedName name="wrn.pag.0140563" localSheetId="7" hidden="1">{#N/A,#N/A,FALSE,"Pag.01"}</definedName>
    <definedName name="wrn.pag.0140563" localSheetId="6" hidden="1">{#N/A,#N/A,FALSE,"Pag.01"}</definedName>
    <definedName name="wrn.pag.0147456" localSheetId="1" hidden="1">{#N/A,#N/A,FALSE,"Pag.01"}</definedName>
    <definedName name="wrn.pag.0147456" localSheetId="7" hidden="1">{#N/A,#N/A,FALSE,"Pag.01"}</definedName>
    <definedName name="wrn.pag.0147456" localSheetId="6" hidden="1">{#N/A,#N/A,FALSE,"Pag.01"}</definedName>
    <definedName name="wrn.pag.015" localSheetId="1" hidden="1">{#N/A,#N/A,FALSE,"Pag.01"}</definedName>
    <definedName name="wrn.pag.015" localSheetId="7" hidden="1">{#N/A,#N/A,FALSE,"Pag.01"}</definedName>
    <definedName name="wrn.pag.015" localSheetId="6" hidden="1">{#N/A,#N/A,FALSE,"Pag.01"}</definedName>
    <definedName name="wrn.pag.0150" localSheetId="1" hidden="1">{#N/A,#N/A,FALSE,"Pag.01"}</definedName>
    <definedName name="wrn.pag.0150" localSheetId="7" hidden="1">{#N/A,#N/A,FALSE,"Pag.01"}</definedName>
    <definedName name="wrn.pag.0150" localSheetId="6" hidden="1">{#N/A,#N/A,FALSE,"Pag.01"}</definedName>
    <definedName name="wrn.pag.01500000" localSheetId="1" hidden="1">{#N/A,#N/A,FALSE,"Pag.01"}</definedName>
    <definedName name="wrn.pag.01500000" localSheetId="7" hidden="1">{#N/A,#N/A,FALSE,"Pag.01"}</definedName>
    <definedName name="wrn.pag.01500000" localSheetId="6" hidden="1">{#N/A,#N/A,FALSE,"Pag.01"}</definedName>
    <definedName name="wrn.pag.015320" localSheetId="1" hidden="1">{#N/A,#N/A,FALSE,"Pag.01"}</definedName>
    <definedName name="wrn.pag.015320" localSheetId="7" hidden="1">{#N/A,#N/A,FALSE,"Pag.01"}</definedName>
    <definedName name="wrn.pag.015320" localSheetId="6" hidden="1">{#N/A,#N/A,FALSE,"Pag.01"}</definedName>
    <definedName name="wrn.pag.015468" localSheetId="1" hidden="1">{#N/A,#N/A,FALSE,"Pag.01"}</definedName>
    <definedName name="wrn.pag.015468" localSheetId="7" hidden="1">{#N/A,#N/A,FALSE,"Pag.01"}</definedName>
    <definedName name="wrn.pag.015468" localSheetId="6" hidden="1">{#N/A,#N/A,FALSE,"Pag.01"}</definedName>
    <definedName name="wrn.pag.016" localSheetId="1" hidden="1">{#N/A,#N/A,FALSE,"Pag.01"}</definedName>
    <definedName name="wrn.pag.016" localSheetId="7" hidden="1">{#N/A,#N/A,FALSE,"Pag.01"}</definedName>
    <definedName name="wrn.pag.016" localSheetId="6" hidden="1">{#N/A,#N/A,FALSE,"Pag.01"}</definedName>
    <definedName name="wrn.pag.0160" localSheetId="1" hidden="1">{#N/A,#N/A,FALSE,"Pag.01"}</definedName>
    <definedName name="wrn.pag.0160" localSheetId="7" hidden="1">{#N/A,#N/A,FALSE,"Pag.01"}</definedName>
    <definedName name="wrn.pag.0160" localSheetId="6" hidden="1">{#N/A,#N/A,FALSE,"Pag.01"}</definedName>
    <definedName name="wrn.pag.016000" localSheetId="1" hidden="1">{#N/A,#N/A,FALSE,"Pag.01"}</definedName>
    <definedName name="wrn.pag.016000" localSheetId="7" hidden="1">{#N/A,#N/A,FALSE,"Pag.01"}</definedName>
    <definedName name="wrn.pag.016000" localSheetId="6" hidden="1">{#N/A,#N/A,FALSE,"Pag.01"}</definedName>
    <definedName name="wrn.pag.01603254" localSheetId="1" hidden="1">{#N/A,#N/A,FALSE,"Pag.01"}</definedName>
    <definedName name="wrn.pag.01603254" localSheetId="7" hidden="1">{#N/A,#N/A,FALSE,"Pag.01"}</definedName>
    <definedName name="wrn.pag.01603254" localSheetId="6" hidden="1">{#N/A,#N/A,FALSE,"Pag.01"}</definedName>
    <definedName name="wrn.pag.0165487" localSheetId="1" hidden="1">{#N/A,#N/A,FALSE,"Pag.01"}</definedName>
    <definedName name="wrn.pag.0165487" localSheetId="7" hidden="1">{#N/A,#N/A,FALSE,"Pag.01"}</definedName>
    <definedName name="wrn.pag.0165487" localSheetId="6" hidden="1">{#N/A,#N/A,FALSE,"Pag.01"}</definedName>
    <definedName name="wrn.pag.017" localSheetId="1" hidden="1">{#N/A,#N/A,FALSE,"Pag.01"}</definedName>
    <definedName name="wrn.pag.017" localSheetId="7" hidden="1">{#N/A,#N/A,FALSE,"Pag.01"}</definedName>
    <definedName name="wrn.pag.017" localSheetId="6" hidden="1">{#N/A,#N/A,FALSE,"Pag.01"}</definedName>
    <definedName name="wrn.pag.0170" localSheetId="1" hidden="1">{#N/A,#N/A,FALSE,"Pag.01"}</definedName>
    <definedName name="wrn.pag.0170" localSheetId="7" hidden="1">{#N/A,#N/A,FALSE,"Pag.01"}</definedName>
    <definedName name="wrn.pag.0170" localSheetId="6" hidden="1">{#N/A,#N/A,FALSE,"Pag.01"}</definedName>
    <definedName name="wrn.pag.017000" localSheetId="1" hidden="1">{#N/A,#N/A,FALSE,"Pag.01"}</definedName>
    <definedName name="wrn.pag.017000" localSheetId="7" hidden="1">{#N/A,#N/A,FALSE,"Pag.01"}</definedName>
    <definedName name="wrn.pag.017000" localSheetId="6" hidden="1">{#N/A,#N/A,FALSE,"Pag.01"}</definedName>
    <definedName name="wrn.pag.018" localSheetId="1" hidden="1">{#N/A,#N/A,FALSE,"Pag.01"}</definedName>
    <definedName name="wrn.pag.018" localSheetId="7" hidden="1">{#N/A,#N/A,FALSE,"Pag.01"}</definedName>
    <definedName name="wrn.pag.018" localSheetId="6" hidden="1">{#N/A,#N/A,FALSE,"Pag.01"}</definedName>
    <definedName name="wrn.pag.018000" localSheetId="1" hidden="1">{#N/A,#N/A,FALSE,"Pag.01"}</definedName>
    <definedName name="wrn.pag.018000" localSheetId="7" hidden="1">{#N/A,#N/A,FALSE,"Pag.01"}</definedName>
    <definedName name="wrn.pag.018000" localSheetId="6" hidden="1">{#N/A,#N/A,FALSE,"Pag.01"}</definedName>
    <definedName name="wrn.pag.02" localSheetId="1" hidden="1">{#N/A,#N/A,FALSE,"Pag.01"}</definedName>
    <definedName name="wrn.pag.02" localSheetId="7" hidden="1">{#N/A,#N/A,FALSE,"Pag.01"}</definedName>
    <definedName name="wrn.pag.02" localSheetId="6" hidden="1">{#N/A,#N/A,FALSE,"Pag.01"}</definedName>
    <definedName name="wrn.pag.020" localSheetId="1" hidden="1">{#N/A,#N/A,FALSE,"Pag.01"}</definedName>
    <definedName name="wrn.pag.020" localSheetId="7" hidden="1">{#N/A,#N/A,FALSE,"Pag.01"}</definedName>
    <definedName name="wrn.pag.020" localSheetId="6" hidden="1">{#N/A,#N/A,FALSE,"Pag.01"}</definedName>
    <definedName name="wrn.pag.020000" localSheetId="1" hidden="1">{#N/A,#N/A,FALSE,"Pag.01"}</definedName>
    <definedName name="wrn.pag.020000" localSheetId="7" hidden="1">{#N/A,#N/A,FALSE,"Pag.01"}</definedName>
    <definedName name="wrn.pag.020000" localSheetId="6" hidden="1">{#N/A,#N/A,FALSE,"Pag.01"}</definedName>
    <definedName name="wrn.pag.02145" localSheetId="1" hidden="1">{#N/A,#N/A,FALSE,"Pag.01"}</definedName>
    <definedName name="wrn.pag.02145" localSheetId="7" hidden="1">{#N/A,#N/A,FALSE,"Pag.01"}</definedName>
    <definedName name="wrn.pag.02145" localSheetId="6" hidden="1">{#N/A,#N/A,FALSE,"Pag.01"}</definedName>
    <definedName name="wrn.pag.0214567" localSheetId="1" hidden="1">{#N/A,#N/A,FALSE,"Pag.01"}</definedName>
    <definedName name="wrn.pag.0214567" localSheetId="7" hidden="1">{#N/A,#N/A,FALSE,"Pag.01"}</definedName>
    <definedName name="wrn.pag.0214567" localSheetId="6" hidden="1">{#N/A,#N/A,FALSE,"Pag.01"}</definedName>
    <definedName name="wrn.pag.02145879" localSheetId="1" hidden="1">{#N/A,#N/A,FALSE,"Pag.01"}</definedName>
    <definedName name="wrn.pag.02145879" localSheetId="7" hidden="1">{#N/A,#N/A,FALSE,"Pag.01"}</definedName>
    <definedName name="wrn.pag.02145879" localSheetId="6" hidden="1">{#N/A,#N/A,FALSE,"Pag.01"}</definedName>
    <definedName name="wrn.pag.02325478" localSheetId="1" hidden="1">{#N/A,#N/A,FALSE,"Pag.01"}</definedName>
    <definedName name="wrn.pag.02325478" localSheetId="7" hidden="1">{#N/A,#N/A,FALSE,"Pag.01"}</definedName>
    <definedName name="wrn.pag.02325478" localSheetId="6" hidden="1">{#N/A,#N/A,FALSE,"Pag.01"}</definedName>
    <definedName name="wrn.pag.025" localSheetId="1" hidden="1">{#N/A,#N/A,FALSE,"Pag.01"}</definedName>
    <definedName name="wrn.pag.025" localSheetId="7" hidden="1">{#N/A,#N/A,FALSE,"Pag.01"}</definedName>
    <definedName name="wrn.pag.025" localSheetId="6" hidden="1">{#N/A,#N/A,FALSE,"Pag.01"}</definedName>
    <definedName name="wrn.pag.025000" localSheetId="1" hidden="1">{#N/A,#N/A,FALSE,"Pag.01"}</definedName>
    <definedName name="wrn.pag.025000" localSheetId="7" hidden="1">{#N/A,#N/A,FALSE,"Pag.01"}</definedName>
    <definedName name="wrn.pag.025000" localSheetId="6" hidden="1">{#N/A,#N/A,FALSE,"Pag.01"}</definedName>
    <definedName name="wrn.pag.025476" localSheetId="1" hidden="1">{#N/A,#N/A,FALSE,"Pag.01"}</definedName>
    <definedName name="wrn.pag.025476" localSheetId="7" hidden="1">{#N/A,#N/A,FALSE,"Pag.01"}</definedName>
    <definedName name="wrn.pag.025476" localSheetId="6" hidden="1">{#N/A,#N/A,FALSE,"Pag.01"}</definedName>
    <definedName name="wrn.pag.02564789" localSheetId="1" hidden="1">{#N/A,#N/A,FALSE,"Pag.01"}</definedName>
    <definedName name="wrn.pag.02564789" localSheetId="7" hidden="1">{#N/A,#N/A,FALSE,"Pag.01"}</definedName>
    <definedName name="wrn.pag.02564789" localSheetId="6" hidden="1">{#N/A,#N/A,FALSE,"Pag.01"}</definedName>
    <definedName name="wrn.pag.03" localSheetId="1" hidden="1">{#N/A,#N/A,FALSE,"Pag.01"}</definedName>
    <definedName name="wrn.pag.03" localSheetId="7" hidden="1">{#N/A,#N/A,FALSE,"Pag.01"}</definedName>
    <definedName name="wrn.pag.03" localSheetId="6" hidden="1">{#N/A,#N/A,FALSE,"Pag.01"}</definedName>
    <definedName name="wrn.pag.030" localSheetId="1" hidden="1">{#N/A,#N/A,FALSE,"Pag.01"}</definedName>
    <definedName name="wrn.pag.030" localSheetId="7" hidden="1">{#N/A,#N/A,FALSE,"Pag.01"}</definedName>
    <definedName name="wrn.pag.030" localSheetId="6" hidden="1">{#N/A,#N/A,FALSE,"Pag.01"}</definedName>
    <definedName name="wrn.pag.0300" localSheetId="1" hidden="1">{#N/A,#N/A,FALSE,"Pag.01"}</definedName>
    <definedName name="wrn.pag.0300" localSheetId="7" hidden="1">{#N/A,#N/A,FALSE,"Pag.01"}</definedName>
    <definedName name="wrn.pag.0300" localSheetId="6" hidden="1">{#N/A,#N/A,FALSE,"Pag.01"}</definedName>
    <definedName name="wrn.pag.03000000" localSheetId="1" hidden="1">{#N/A,#N/A,FALSE,"Pag.01"}</definedName>
    <definedName name="wrn.pag.03000000" localSheetId="7" hidden="1">{#N/A,#N/A,FALSE,"Pag.01"}</definedName>
    <definedName name="wrn.pag.03000000" localSheetId="6" hidden="1">{#N/A,#N/A,FALSE,"Pag.01"}</definedName>
    <definedName name="wrn.pag.030000000" localSheetId="1" hidden="1">{#N/A,#N/A,FALSE,"Pag.01"}</definedName>
    <definedName name="wrn.pag.030000000" localSheetId="7" hidden="1">{#N/A,#N/A,FALSE,"Pag.01"}</definedName>
    <definedName name="wrn.pag.030000000" localSheetId="6" hidden="1">{#N/A,#N/A,FALSE,"Pag.01"}</definedName>
    <definedName name="wrn.pag.0321475" localSheetId="1" hidden="1">{#N/A,#N/A,FALSE,"Pag.01"}</definedName>
    <definedName name="wrn.pag.0321475" localSheetId="7" hidden="1">{#N/A,#N/A,FALSE,"Pag.01"}</definedName>
    <definedName name="wrn.pag.0321475" localSheetId="6" hidden="1">{#N/A,#N/A,FALSE,"Pag.01"}</definedName>
    <definedName name="wrn.pag.032548" localSheetId="1" hidden="1">{#N/A,#N/A,FALSE,"Pag.01"}</definedName>
    <definedName name="wrn.pag.032548" localSheetId="7" hidden="1">{#N/A,#N/A,FALSE,"Pag.01"}</definedName>
    <definedName name="wrn.pag.032548" localSheetId="6" hidden="1">{#N/A,#N/A,FALSE,"Pag.01"}</definedName>
    <definedName name="wrn.pag.0345778" localSheetId="1" hidden="1">{#N/A,#N/A,FALSE,"Pag.01"}</definedName>
    <definedName name="wrn.pag.0345778" localSheetId="7" hidden="1">{#N/A,#N/A,FALSE,"Pag.01"}</definedName>
    <definedName name="wrn.pag.0345778" localSheetId="6" hidden="1">{#N/A,#N/A,FALSE,"Pag.01"}</definedName>
    <definedName name="wrn.pag.04" localSheetId="1" hidden="1">{#N/A,#N/A,FALSE,"Pag.01"}</definedName>
    <definedName name="wrn.pag.04" localSheetId="7" hidden="1">{#N/A,#N/A,FALSE,"Pag.01"}</definedName>
    <definedName name="wrn.pag.04" localSheetId="6" hidden="1">{#N/A,#N/A,FALSE,"Pag.01"}</definedName>
    <definedName name="wrn.pag.040" localSheetId="1" hidden="1">{#N/A,#N/A,FALSE,"Pag.01"}</definedName>
    <definedName name="wrn.pag.040" localSheetId="7" hidden="1">{#N/A,#N/A,FALSE,"Pag.01"}</definedName>
    <definedName name="wrn.pag.040" localSheetId="6" hidden="1">{#N/A,#N/A,FALSE,"Pag.01"}</definedName>
    <definedName name="wrn.pag.0400" localSheetId="1" hidden="1">{#N/A,#N/A,FALSE,"Pag.01"}</definedName>
    <definedName name="wrn.pag.0400" localSheetId="7" hidden="1">{#N/A,#N/A,FALSE,"Pag.01"}</definedName>
    <definedName name="wrn.pag.0400" localSheetId="6" hidden="1">{#N/A,#N/A,FALSE,"Pag.01"}</definedName>
    <definedName name="wrn.pag.040000000" localSheetId="1" hidden="1">{#N/A,#N/A,FALSE,"Pag.01"}</definedName>
    <definedName name="wrn.pag.040000000" localSheetId="7" hidden="1">{#N/A,#N/A,FALSE,"Pag.01"}</definedName>
    <definedName name="wrn.pag.040000000" localSheetId="6" hidden="1">{#N/A,#N/A,FALSE,"Pag.01"}</definedName>
    <definedName name="wrn.pag.040000000000" localSheetId="1" hidden="1">{#N/A,#N/A,FALSE,"Pag.01"}</definedName>
    <definedName name="wrn.pag.040000000000" localSheetId="7" hidden="1">{#N/A,#N/A,FALSE,"Pag.01"}</definedName>
    <definedName name="wrn.pag.040000000000" localSheetId="6" hidden="1">{#N/A,#N/A,FALSE,"Pag.01"}</definedName>
    <definedName name="wrn.pag.04254789" localSheetId="1" hidden="1">{#N/A,#N/A,FALSE,"Pag.01"}</definedName>
    <definedName name="wrn.pag.04254789" localSheetId="7" hidden="1">{#N/A,#N/A,FALSE,"Pag.01"}</definedName>
    <definedName name="wrn.pag.04254789" localSheetId="6" hidden="1">{#N/A,#N/A,FALSE,"Pag.01"}</definedName>
    <definedName name="wrn.pag.04875323" localSheetId="1" hidden="1">{#N/A,#N/A,FALSE,"Pag.01"}</definedName>
    <definedName name="wrn.pag.04875323" localSheetId="7" hidden="1">{#N/A,#N/A,FALSE,"Pag.01"}</definedName>
    <definedName name="wrn.pag.04875323" localSheetId="6" hidden="1">{#N/A,#N/A,FALSE,"Pag.01"}</definedName>
    <definedName name="wrn.pag.05" localSheetId="1" hidden="1">{#N/A,#N/A,FALSE,"Pag.01"}</definedName>
    <definedName name="wrn.pag.05" localSheetId="7" hidden="1">{#N/A,#N/A,FALSE,"Pag.01"}</definedName>
    <definedName name="wrn.pag.05" localSheetId="6" hidden="1">{#N/A,#N/A,FALSE,"Pag.01"}</definedName>
    <definedName name="wrn.pag.050" localSheetId="1" hidden="1">{#N/A,#N/A,FALSE,"Pag.01"}</definedName>
    <definedName name="wrn.pag.050" localSheetId="7" hidden="1">{#N/A,#N/A,FALSE,"Pag.01"}</definedName>
    <definedName name="wrn.pag.050" localSheetId="6" hidden="1">{#N/A,#N/A,FALSE,"Pag.01"}</definedName>
    <definedName name="wrn.pag.0500" localSheetId="1" hidden="1">{#N/A,#N/A,FALSE,"Pag.01"}</definedName>
    <definedName name="wrn.pag.0500" localSheetId="7" hidden="1">{#N/A,#N/A,FALSE,"Pag.01"}</definedName>
    <definedName name="wrn.pag.0500" localSheetId="6" hidden="1">{#N/A,#N/A,FALSE,"Pag.01"}</definedName>
    <definedName name="wrn.pag.0500000000" localSheetId="1" hidden="1">{#N/A,#N/A,FALSE,"Pag.01"}</definedName>
    <definedName name="wrn.pag.0500000000" localSheetId="7" hidden="1">{#N/A,#N/A,FALSE,"Pag.01"}</definedName>
    <definedName name="wrn.pag.0500000000" localSheetId="6" hidden="1">{#N/A,#N/A,FALSE,"Pag.01"}</definedName>
    <definedName name="wrn.pag.05000000000" localSheetId="1" hidden="1">{#N/A,#N/A,FALSE,"Pag.01"}</definedName>
    <definedName name="wrn.pag.05000000000" localSheetId="7" hidden="1">{#N/A,#N/A,FALSE,"Pag.01"}</definedName>
    <definedName name="wrn.pag.05000000000" localSheetId="6" hidden="1">{#N/A,#N/A,FALSE,"Pag.01"}</definedName>
    <definedName name="wrn.pag.05428" localSheetId="1" hidden="1">{#N/A,#N/A,FALSE,"Pag.01"}</definedName>
    <definedName name="wrn.pag.05428" localSheetId="7" hidden="1">{#N/A,#N/A,FALSE,"Pag.01"}</definedName>
    <definedName name="wrn.pag.05428" localSheetId="6" hidden="1">{#N/A,#N/A,FALSE,"Pag.01"}</definedName>
    <definedName name="wrn.pag.056874" localSheetId="1" hidden="1">{#N/A,#N/A,FALSE,"Pag.01"}</definedName>
    <definedName name="wrn.pag.056874" localSheetId="7" hidden="1">{#N/A,#N/A,FALSE,"Pag.01"}</definedName>
    <definedName name="wrn.pag.056874" localSheetId="6" hidden="1">{#N/A,#N/A,FALSE,"Pag.01"}</definedName>
    <definedName name="wrn.pag.06" localSheetId="1" hidden="1">{#N/A,#N/A,FALSE,"Pag.01"}</definedName>
    <definedName name="wrn.pag.06" localSheetId="7" hidden="1">{#N/A,#N/A,FALSE,"Pag.01"}</definedName>
    <definedName name="wrn.pag.06" localSheetId="6" hidden="1">{#N/A,#N/A,FALSE,"Pag.01"}</definedName>
    <definedName name="wrn.pag.060" localSheetId="1" hidden="1">{#N/A,#N/A,FALSE,"Pag.01"}</definedName>
    <definedName name="wrn.pag.060" localSheetId="7" hidden="1">{#N/A,#N/A,FALSE,"Pag.01"}</definedName>
    <definedName name="wrn.pag.060" localSheetId="6" hidden="1">{#N/A,#N/A,FALSE,"Pag.01"}</definedName>
    <definedName name="wrn.pag.0600" localSheetId="1" hidden="1">{#N/A,#N/A,FALSE,"Pag.01"}</definedName>
    <definedName name="wrn.pag.0600" localSheetId="7" hidden="1">{#N/A,#N/A,FALSE,"Pag.01"}</definedName>
    <definedName name="wrn.pag.0600" localSheetId="6" hidden="1">{#N/A,#N/A,FALSE,"Pag.01"}</definedName>
    <definedName name="wrn.pag.0600000000" localSheetId="1" hidden="1">{#N/A,#N/A,FALSE,"Pag.01"}</definedName>
    <definedName name="wrn.pag.0600000000" localSheetId="7" hidden="1">{#N/A,#N/A,FALSE,"Pag.01"}</definedName>
    <definedName name="wrn.pag.0600000000" localSheetId="6" hidden="1">{#N/A,#N/A,FALSE,"Pag.01"}</definedName>
    <definedName name="wrn.pag.06000000000000000" localSheetId="1" hidden="1">{#N/A,#N/A,FALSE,"Pag.01"}</definedName>
    <definedName name="wrn.pag.06000000000000000" localSheetId="7" hidden="1">{#N/A,#N/A,FALSE,"Pag.01"}</definedName>
    <definedName name="wrn.pag.06000000000000000" localSheetId="6" hidden="1">{#N/A,#N/A,FALSE,"Pag.01"}</definedName>
    <definedName name="wrn.pag.07" localSheetId="1" hidden="1">{#N/A,#N/A,FALSE,"Pag.01"}</definedName>
    <definedName name="wrn.pag.07" localSheetId="7" hidden="1">{#N/A,#N/A,FALSE,"Pag.01"}</definedName>
    <definedName name="wrn.pag.07" localSheetId="6" hidden="1">{#N/A,#N/A,FALSE,"Pag.01"}</definedName>
    <definedName name="wrn.pag.070" localSheetId="1" hidden="1">{#N/A,#N/A,FALSE,"Pag.01"}</definedName>
    <definedName name="wrn.pag.070" localSheetId="7" hidden="1">{#N/A,#N/A,FALSE,"Pag.01"}</definedName>
    <definedName name="wrn.pag.070" localSheetId="6" hidden="1">{#N/A,#N/A,FALSE,"Pag.01"}</definedName>
    <definedName name="wrn.pag.0700" localSheetId="1" hidden="1">{#N/A,#N/A,FALSE,"Pag.01"}</definedName>
    <definedName name="wrn.pag.0700" localSheetId="7" hidden="1">{#N/A,#N/A,FALSE,"Pag.01"}</definedName>
    <definedName name="wrn.pag.0700" localSheetId="6" hidden="1">{#N/A,#N/A,FALSE,"Pag.01"}</definedName>
    <definedName name="wrn.pag.070000000000" localSheetId="1" hidden="1">{#N/A,#N/A,FALSE,"Pag.01"}</definedName>
    <definedName name="wrn.pag.070000000000" localSheetId="7" hidden="1">{#N/A,#N/A,FALSE,"Pag.01"}</definedName>
    <definedName name="wrn.pag.070000000000" localSheetId="6" hidden="1">{#N/A,#N/A,FALSE,"Pag.01"}</definedName>
    <definedName name="wrn.pag.07000000000000" localSheetId="1" hidden="1">{#N/A,#N/A,FALSE,"Pag.01"}</definedName>
    <definedName name="wrn.pag.07000000000000" localSheetId="7" hidden="1">{#N/A,#N/A,FALSE,"Pag.01"}</definedName>
    <definedName name="wrn.pag.07000000000000" localSheetId="6" hidden="1">{#N/A,#N/A,FALSE,"Pag.01"}</definedName>
    <definedName name="wrn.pag.09" localSheetId="1" hidden="1">{#N/A,#N/A,FALSE,"Pag.01"}</definedName>
    <definedName name="wrn.pag.09" localSheetId="7" hidden="1">{#N/A,#N/A,FALSE,"Pag.01"}</definedName>
    <definedName name="wrn.pag.09" localSheetId="6" hidden="1">{#N/A,#N/A,FALSE,"Pag.01"}</definedName>
    <definedName name="wrn.pag.090" localSheetId="1" hidden="1">{#N/A,#N/A,FALSE,"Pag.01"}</definedName>
    <definedName name="wrn.pag.090" localSheetId="7" hidden="1">{#N/A,#N/A,FALSE,"Pag.01"}</definedName>
    <definedName name="wrn.pag.090" localSheetId="6" hidden="1">{#N/A,#N/A,FALSE,"Pag.01"}</definedName>
    <definedName name="wrn.pag.0900" localSheetId="1" hidden="1">{#N/A,#N/A,FALSE,"Pag.01"}</definedName>
    <definedName name="wrn.pag.0900" localSheetId="7" hidden="1">{#N/A,#N/A,FALSE,"Pag.01"}</definedName>
    <definedName name="wrn.pag.0900" localSheetId="6" hidden="1">{#N/A,#N/A,FALSE,"Pag.01"}</definedName>
    <definedName name="wrn.pag.090000000000" localSheetId="1" hidden="1">{#N/A,#N/A,FALSE,"Pag.01"}</definedName>
    <definedName name="wrn.pag.090000000000" localSheetId="7" hidden="1">{#N/A,#N/A,FALSE,"Pag.01"}</definedName>
    <definedName name="wrn.pag.090000000000" localSheetId="6" hidden="1">{#N/A,#N/A,FALSE,"Pag.01"}</definedName>
    <definedName name="wrn.pag.09000000000000000000" localSheetId="1" hidden="1">{#N/A,#N/A,FALSE,"Pag.01"}</definedName>
    <definedName name="wrn.pag.09000000000000000000" localSheetId="7" hidden="1">{#N/A,#N/A,FALSE,"Pag.01"}</definedName>
    <definedName name="wrn.pag.09000000000000000000" localSheetId="6" hidden="1">{#N/A,#N/A,FALSE,"Pag.01"}</definedName>
    <definedName name="wrn.pag.100" localSheetId="1" hidden="1">{#N/A,#N/A,FALSE,"Pag.01"}</definedName>
    <definedName name="wrn.pag.100" localSheetId="7" hidden="1">{#N/A,#N/A,FALSE,"Pag.01"}</definedName>
    <definedName name="wrn.pag.100" localSheetId="6" hidden="1">{#N/A,#N/A,FALSE,"Pag.01"}</definedName>
    <definedName name="wrn.pag.102145" localSheetId="1" hidden="1">{#N/A,#N/A,FALSE,"Pag.01"}</definedName>
    <definedName name="wrn.pag.102145" localSheetId="7" hidden="1">{#N/A,#N/A,FALSE,"Pag.01"}</definedName>
    <definedName name="wrn.pag.102145" localSheetId="6" hidden="1">{#N/A,#N/A,FALSE,"Pag.01"}</definedName>
    <definedName name="wrn.pag.12" localSheetId="1" hidden="1">{#N/A,#N/A,FALSE,"Pag.01"}</definedName>
    <definedName name="wrn.pag.12" localSheetId="7" hidden="1">{#N/A,#N/A,FALSE,"Pag.01"}</definedName>
    <definedName name="wrn.pag.12" localSheetId="6" hidden="1">{#N/A,#N/A,FALSE,"Pag.01"}</definedName>
    <definedName name="wrn.pag.120" localSheetId="1" hidden="1">{#N/A,#N/A,FALSE,"Pag.01"}</definedName>
    <definedName name="wrn.pag.120" localSheetId="7" hidden="1">{#N/A,#N/A,FALSE,"Pag.01"}</definedName>
    <definedName name="wrn.pag.120" localSheetId="6" hidden="1">{#N/A,#N/A,FALSE,"Pag.01"}</definedName>
    <definedName name="wrn.pag.12000000000" localSheetId="1" hidden="1">{#N/A,#N/A,FALSE,"Pag.01"}</definedName>
    <definedName name="wrn.pag.12000000000" localSheetId="7" hidden="1">{#N/A,#N/A,FALSE,"Pag.01"}</definedName>
    <definedName name="wrn.pag.12000000000" localSheetId="6" hidden="1">{#N/A,#N/A,FALSE,"Pag.01"}</definedName>
    <definedName name="wrn.pag.1200000000000000" localSheetId="1" hidden="1">{#N/A,#N/A,FALSE,"Pag.01"}</definedName>
    <definedName name="wrn.pag.1200000000000000" localSheetId="7" hidden="1">{#N/A,#N/A,FALSE,"Pag.01"}</definedName>
    <definedName name="wrn.pag.1200000000000000" localSheetId="6" hidden="1">{#N/A,#N/A,FALSE,"Pag.01"}</definedName>
    <definedName name="wrn.pag.1254789" localSheetId="1" hidden="1">{#N/A,#N/A,FALSE,"Pag.01"}</definedName>
    <definedName name="wrn.pag.1254789" localSheetId="7" hidden="1">{#N/A,#N/A,FALSE,"Pag.01"}</definedName>
    <definedName name="wrn.pag.1254789" localSheetId="6" hidden="1">{#N/A,#N/A,FALSE,"Pag.01"}</definedName>
    <definedName name="wrn.pag.214578" localSheetId="1" hidden="1">{#N/A,#N/A,FALSE,"Pag.01"}</definedName>
    <definedName name="wrn.pag.214578" localSheetId="7" hidden="1">{#N/A,#N/A,FALSE,"Pag.01"}</definedName>
    <definedName name="wrn.pag.214578" localSheetId="6" hidden="1">{#N/A,#N/A,FALSE,"Pag.01"}</definedName>
    <definedName name="wrn.pag.214789" localSheetId="1" hidden="1">{#N/A,#N/A,FALSE,"Pag.01"}</definedName>
    <definedName name="wrn.pag.214789" localSheetId="7" hidden="1">{#N/A,#N/A,FALSE,"Pag.01"}</definedName>
    <definedName name="wrn.pag.214789" localSheetId="6" hidden="1">{#N/A,#N/A,FALSE,"Pag.01"}</definedName>
    <definedName name="wrn.pag.23654789" localSheetId="1" hidden="1">{#N/A,#N/A,FALSE,"Pag.01"}</definedName>
    <definedName name="wrn.pag.23654789" localSheetId="7" hidden="1">{#N/A,#N/A,FALSE,"Pag.01"}</definedName>
    <definedName name="wrn.pag.23654789" localSheetId="6" hidden="1">{#N/A,#N/A,FALSE,"Pag.01"}</definedName>
    <definedName name="wrn.pag.2547257" localSheetId="1" hidden="1">{#N/A,#N/A,FALSE,"Pag.01"}</definedName>
    <definedName name="wrn.pag.2547257" localSheetId="7" hidden="1">{#N/A,#N/A,FALSE,"Pag.01"}</definedName>
    <definedName name="wrn.pag.2547257" localSheetId="6" hidden="1">{#N/A,#N/A,FALSE,"Pag.01"}</definedName>
    <definedName name="wrn.pag.254789" localSheetId="1" hidden="1">{#N/A,#N/A,FALSE,"Pag.01"}</definedName>
    <definedName name="wrn.pag.254789" localSheetId="7" hidden="1">{#N/A,#N/A,FALSE,"Pag.01"}</definedName>
    <definedName name="wrn.pag.254789" localSheetId="6" hidden="1">{#N/A,#N/A,FALSE,"Pag.01"}</definedName>
    <definedName name="wrn.pag.2564789" localSheetId="1" hidden="1">{#N/A,#N/A,FALSE,"Pag.01"}</definedName>
    <definedName name="wrn.pag.2564789" localSheetId="7" hidden="1">{#N/A,#N/A,FALSE,"Pag.01"}</definedName>
    <definedName name="wrn.pag.2564789" localSheetId="6" hidden="1">{#N/A,#N/A,FALSE,"Pag.01"}</definedName>
    <definedName name="wrn.pag.458796" localSheetId="1" hidden="1">{#N/A,#N/A,FALSE,"Pag.01"}</definedName>
    <definedName name="wrn.pag.458796" localSheetId="7" hidden="1">{#N/A,#N/A,FALSE,"Pag.01"}</definedName>
    <definedName name="wrn.pag.458796" localSheetId="6" hidden="1">{#N/A,#N/A,FALSE,"Pag.01"}</definedName>
    <definedName name="wrn.pag.500" localSheetId="1" hidden="1">{#N/A,#N/A,FALSE,"Pag.01"}</definedName>
    <definedName name="wrn.pag.500" localSheetId="7" hidden="1">{#N/A,#N/A,FALSE,"Pag.01"}</definedName>
    <definedName name="wrn.pag.500" localSheetId="6" hidden="1">{#N/A,#N/A,FALSE,"Pag.01"}</definedName>
    <definedName name="wrn.pag.5000" localSheetId="1" hidden="1">{#N/A,#N/A,FALSE,"Pag.01"}</definedName>
    <definedName name="wrn.pag.5000" localSheetId="7" hidden="1">{#N/A,#N/A,FALSE,"Pag.01"}</definedName>
    <definedName name="wrn.pag.5000" localSheetId="6" hidden="1">{#N/A,#N/A,FALSE,"Pag.01"}</definedName>
    <definedName name="wrn.pag.501000" localSheetId="1" hidden="1">{#N/A,#N/A,FALSE,"Pag.01"}</definedName>
    <definedName name="wrn.pag.501000" localSheetId="7" hidden="1">{#N/A,#N/A,FALSE,"Pag.01"}</definedName>
    <definedName name="wrn.pag.501000" localSheetId="6" hidden="1">{#N/A,#N/A,FALSE,"Pag.01"}</definedName>
    <definedName name="wrn.pag.5010000" localSheetId="1" hidden="1">{#N/A,#N/A,FALSE,"Pag.01"}</definedName>
    <definedName name="wrn.pag.5010000" localSheetId="7" hidden="1">{#N/A,#N/A,FALSE,"Pag.01"}</definedName>
    <definedName name="wrn.pag.5010000" localSheetId="6" hidden="1">{#N/A,#N/A,FALSE,"Pag.01"}</definedName>
    <definedName name="wrn.pag.50100000000000" localSheetId="1" hidden="1">{#N/A,#N/A,FALSE,"Pag.01"}</definedName>
    <definedName name="wrn.pag.50100000000000" localSheetId="7" hidden="1">{#N/A,#N/A,FALSE,"Pag.01"}</definedName>
    <definedName name="wrn.pag.50100000000000" localSheetId="6" hidden="1">{#N/A,#N/A,FALSE,"Pag.01"}</definedName>
    <definedName name="wrn.pag.5011" localSheetId="1" hidden="1">{#N/A,#N/A,FALSE,"Pag.01"}</definedName>
    <definedName name="wrn.pag.5011" localSheetId="7" hidden="1">{#N/A,#N/A,FALSE,"Pag.01"}</definedName>
    <definedName name="wrn.pag.5011" localSheetId="6" hidden="1">{#N/A,#N/A,FALSE,"Pag.01"}</definedName>
    <definedName name="wrn.pag.501110" localSheetId="1" hidden="1">{#N/A,#N/A,FALSE,"Pag.01"}</definedName>
    <definedName name="wrn.pag.501110" localSheetId="7" hidden="1">{#N/A,#N/A,FALSE,"Pag.01"}</definedName>
    <definedName name="wrn.pag.501110" localSheetId="6" hidden="1">{#N/A,#N/A,FALSE,"Pag.01"}</definedName>
    <definedName name="wrn.pag.5012000" localSheetId="1" hidden="1">{#N/A,#N/A,FALSE,"Pag.01"}</definedName>
    <definedName name="wrn.pag.5012000" localSheetId="7" hidden="1">{#N/A,#N/A,FALSE,"Pag.01"}</definedName>
    <definedName name="wrn.pag.5012000" localSheetId="6" hidden="1">{#N/A,#N/A,FALSE,"Pag.01"}</definedName>
    <definedName name="wrn.pag.50123" localSheetId="1" hidden="1">{#N/A,#N/A,FALSE,"Pag.01"}</definedName>
    <definedName name="wrn.pag.50123" localSheetId="7" hidden="1">{#N/A,#N/A,FALSE,"Pag.01"}</definedName>
    <definedName name="wrn.pag.50123" localSheetId="6" hidden="1">{#N/A,#N/A,FALSE,"Pag.01"}</definedName>
    <definedName name="wrn.pag.5013000" localSheetId="1" hidden="1">{#N/A,#N/A,FALSE,"Pag.01"}</definedName>
    <definedName name="wrn.pag.5013000" localSheetId="7" hidden="1">{#N/A,#N/A,FALSE,"Pag.01"}</definedName>
    <definedName name="wrn.pag.5013000" localSheetId="6" hidden="1">{#N/A,#N/A,FALSE,"Pag.01"}</definedName>
    <definedName name="wrn.pag.5017" localSheetId="1" hidden="1">{#N/A,#N/A,FALSE,"Pag.01"}</definedName>
    <definedName name="wrn.pag.5017" localSheetId="7" hidden="1">{#N/A,#N/A,FALSE,"Pag.01"}</definedName>
    <definedName name="wrn.pag.5017" localSheetId="6" hidden="1">{#N/A,#N/A,FALSE,"Pag.01"}</definedName>
    <definedName name="wrn.pag.5018" localSheetId="1" hidden="1">{#N/A,#N/A,FALSE,"Pag.01"}</definedName>
    <definedName name="wrn.pag.5018" localSheetId="7" hidden="1">{#N/A,#N/A,FALSE,"Pag.01"}</definedName>
    <definedName name="wrn.pag.5018" localSheetId="6" hidden="1">{#N/A,#N/A,FALSE,"Pag.01"}</definedName>
    <definedName name="wrn.pag.514000" localSheetId="1" hidden="1">{#N/A,#N/A,FALSE,"Pag.01"}</definedName>
    <definedName name="wrn.pag.514000" localSheetId="7" hidden="1">{#N/A,#N/A,FALSE,"Pag.01"}</definedName>
    <definedName name="wrn.pag.514000" localSheetId="6" hidden="1">{#N/A,#N/A,FALSE,"Pag.01"}</definedName>
    <definedName name="wrn.pag.658742" localSheetId="1" hidden="1">{#N/A,#N/A,FALSE,"Pag.01"}</definedName>
    <definedName name="wrn.pag.658742" localSheetId="7" hidden="1">{#N/A,#N/A,FALSE,"Pag.01"}</definedName>
    <definedName name="wrn.pag.658742" localSheetId="6" hidden="1">{#N/A,#N/A,FALSE,"Pag.01"}</definedName>
    <definedName name="ws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xs" localSheetId="1" hidden="1">{#N/A,#N/A,FALSE,"ENERGIA";#N/A,#N/A,FALSE,"PERDIDAS";#N/A,#N/A,FALSE,"CLIENTES";#N/A,#N/A,FALSE,"ESTADO";#N/A,#N/A,FALSE,"TECNICA"}</definedName>
    <definedName name="xs" localSheetId="7" hidden="1">{#N/A,#N/A,FALSE,"ENERGIA";#N/A,#N/A,FALSE,"PERDIDAS";#N/A,#N/A,FALSE,"CLIENTES";#N/A,#N/A,FALSE,"ESTADO";#N/A,#N/A,FALSE,"TECNICA"}</definedName>
    <definedName name="xs" localSheetId="6" hidden="1">{#N/A,#N/A,FALSE,"ENERGIA";#N/A,#N/A,FALSE,"PERDIDAS";#N/A,#N/A,FALSE,"CLIENTES";#N/A,#N/A,FALSE,"ESTADO";#N/A,#N/A,FALSE,"TECNICA"}</definedName>
    <definedName name="xs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Z_3593CE10_0AFF_4168_863E_673580190D43_.wvu.Cols" localSheetId="1" hidden="1">#REF!</definedName>
    <definedName name="Z_3593CE10_0AFF_4168_863E_673580190D43_.wvu.Cols" localSheetId="7" hidden="1">#REF!</definedName>
    <definedName name="Z_3593CE10_0AFF_4168_863E_673580190D43_.wvu.Cols" localSheetId="6" hidden="1">#REF!</definedName>
    <definedName name="Z_A0DD6017_E189_11D6_9013_0008C7630F83_.wvu.PrintArea" localSheetId="1" hidden="1">#REF!</definedName>
    <definedName name="Z_A0DD6017_E189_11D6_9013_0008C7630F83_.wvu.PrintArea" localSheetId="7" hidden="1">#REF!</definedName>
    <definedName name="Z_A0DD6017_E189_11D6_9013_0008C7630F83_.wvu.PrintArea" localSheetId="6" hidden="1">#REF!</definedName>
    <definedName name="zzzzz" localSheetId="1" hidden="1">#REF!</definedName>
    <definedName name="zzzzz" localSheetId="7" hidden="1">#REF!</definedName>
    <definedName name="zzzzz" localSheetId="6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5" l="1"/>
  <c r="C68" i="5"/>
  <c r="D56" i="5"/>
  <c r="C56" i="5"/>
  <c r="D50" i="5"/>
  <c r="C50" i="5"/>
  <c r="D37" i="5"/>
  <c r="C37" i="5"/>
  <c r="D27" i="5"/>
  <c r="C27" i="5"/>
  <c r="C11" i="5"/>
  <c r="D11" i="5"/>
  <c r="C49" i="5" l="1"/>
  <c r="C65" i="5" s="1"/>
  <c r="D49" i="5"/>
  <c r="D65" i="5" s="1"/>
  <c r="D70" i="14" l="1"/>
  <c r="C70" i="14"/>
  <c r="D60" i="14"/>
  <c r="C60" i="14"/>
  <c r="D53" i="14"/>
  <c r="D31" i="12"/>
  <c r="J31" i="11"/>
  <c r="E31" i="11"/>
  <c r="J29" i="11"/>
  <c r="E29" i="11"/>
  <c r="K28" i="11"/>
  <c r="H28" i="11"/>
  <c r="D27" i="11"/>
  <c r="G27" i="11"/>
  <c r="E25" i="11"/>
  <c r="G23" i="11"/>
  <c r="D23" i="11"/>
  <c r="J24" i="11"/>
  <c r="H21" i="11"/>
  <c r="K21" i="11"/>
  <c r="E21" i="11"/>
  <c r="J20" i="11"/>
  <c r="K19" i="11"/>
  <c r="H19" i="11"/>
  <c r="E19" i="11"/>
  <c r="J18" i="11"/>
  <c r="H18" i="11"/>
  <c r="K18" i="11"/>
  <c r="E18" i="11"/>
  <c r="G16" i="11"/>
  <c r="K17" i="11"/>
  <c r="E17" i="11"/>
  <c r="D16" i="11"/>
  <c r="J14" i="11"/>
  <c r="H14" i="11"/>
  <c r="E14" i="11"/>
  <c r="H13" i="11"/>
  <c r="G11" i="11"/>
  <c r="E13" i="11"/>
  <c r="E12" i="11"/>
  <c r="E41" i="10"/>
  <c r="K39" i="10"/>
  <c r="J39" i="10"/>
  <c r="H39" i="10"/>
  <c r="D37" i="10"/>
  <c r="J38" i="10"/>
  <c r="H38" i="10"/>
  <c r="E38" i="10"/>
  <c r="F37" i="10"/>
  <c r="K35" i="10"/>
  <c r="H35" i="10"/>
  <c r="K34" i="10"/>
  <c r="J34" i="10"/>
  <c r="H34" i="10"/>
  <c r="E34" i="10"/>
  <c r="K31" i="10"/>
  <c r="J31" i="10"/>
  <c r="H31" i="10"/>
  <c r="E31" i="10"/>
  <c r="K29" i="10"/>
  <c r="K28" i="10"/>
  <c r="G27" i="10"/>
  <c r="H28" i="10"/>
  <c r="J28" i="10"/>
  <c r="C27" i="10"/>
  <c r="K25" i="10"/>
  <c r="K23" i="10"/>
  <c r="H23" i="10"/>
  <c r="E23" i="10"/>
  <c r="E22" i="10"/>
  <c r="K21" i="10"/>
  <c r="K20" i="10"/>
  <c r="H20" i="10"/>
  <c r="J20" i="10"/>
  <c r="K17" i="10"/>
  <c r="K16" i="10"/>
  <c r="H16" i="10"/>
  <c r="J16" i="10"/>
  <c r="K15" i="10"/>
  <c r="H15" i="10"/>
  <c r="E15" i="10"/>
  <c r="E14" i="10"/>
  <c r="K13" i="10"/>
  <c r="K12" i="10"/>
  <c r="G11" i="10"/>
  <c r="H12" i="10"/>
  <c r="J12" i="10"/>
  <c r="G30" i="8"/>
  <c r="F26" i="8"/>
  <c r="G23" i="8"/>
  <c r="G16" i="8"/>
  <c r="G15" i="8"/>
  <c r="G14" i="8"/>
  <c r="G12" i="8"/>
  <c r="F17" i="8"/>
  <c r="F31" i="7"/>
  <c r="C45" i="6"/>
  <c r="D45" i="6"/>
  <c r="O40" i="4"/>
  <c r="P39" i="4"/>
  <c r="R39" i="4" s="1"/>
  <c r="O39" i="4"/>
  <c r="J39" i="4"/>
  <c r="E39" i="4"/>
  <c r="O38" i="4"/>
  <c r="O37" i="4"/>
  <c r="E37" i="4"/>
  <c r="P36" i="4"/>
  <c r="T36" i="4" s="1"/>
  <c r="O36" i="4"/>
  <c r="K36" i="4"/>
  <c r="H36" i="4"/>
  <c r="J36" i="4"/>
  <c r="Q41" i="4"/>
  <c r="O35" i="4"/>
  <c r="G35" i="4"/>
  <c r="F35" i="4"/>
  <c r="O34" i="4"/>
  <c r="O33" i="4"/>
  <c r="J33" i="4"/>
  <c r="O32" i="4"/>
  <c r="H32" i="4"/>
  <c r="P32" i="4"/>
  <c r="T32" i="4" s="1"/>
  <c r="O31" i="4"/>
  <c r="O30" i="4"/>
  <c r="P29" i="4"/>
  <c r="T29" i="4" s="1"/>
  <c r="O29" i="4"/>
  <c r="O28" i="4"/>
  <c r="K28" i="4"/>
  <c r="J28" i="4"/>
  <c r="E28" i="4"/>
  <c r="P28" i="4"/>
  <c r="T28" i="4" s="1"/>
  <c r="T27" i="4"/>
  <c r="P27" i="4"/>
  <c r="O27" i="4"/>
  <c r="O26" i="4"/>
  <c r="K26" i="4"/>
  <c r="J26" i="4"/>
  <c r="P26" i="4"/>
  <c r="T26" i="4" s="1"/>
  <c r="O25" i="4"/>
  <c r="O24" i="4"/>
  <c r="O23" i="4"/>
  <c r="K23" i="4"/>
  <c r="H23" i="4"/>
  <c r="E23" i="4"/>
  <c r="P23" i="4"/>
  <c r="T23" i="4" s="1"/>
  <c r="O22" i="4"/>
  <c r="J22" i="4"/>
  <c r="H22" i="4"/>
  <c r="K22" i="4"/>
  <c r="C18" i="4"/>
  <c r="P21" i="4"/>
  <c r="R21" i="4" s="1"/>
  <c r="O21" i="4"/>
  <c r="E21" i="4"/>
  <c r="O20" i="4"/>
  <c r="J20" i="4"/>
  <c r="E20" i="4"/>
  <c r="P19" i="4"/>
  <c r="T19" i="4" s="1"/>
  <c r="O19" i="4"/>
  <c r="H19" i="4"/>
  <c r="O18" i="4"/>
  <c r="O17" i="4"/>
  <c r="K17" i="4"/>
  <c r="J17" i="4"/>
  <c r="E17" i="4"/>
  <c r="O16" i="4"/>
  <c r="P15" i="4"/>
  <c r="T15" i="4" s="1"/>
  <c r="O15" i="4"/>
  <c r="K15" i="4"/>
  <c r="H15" i="4"/>
  <c r="J15" i="4"/>
  <c r="O14" i="4"/>
  <c r="G14" i="4"/>
  <c r="F14" i="4"/>
  <c r="P13" i="4"/>
  <c r="T13" i="4" s="1"/>
  <c r="O13" i="4"/>
  <c r="E13" i="4"/>
  <c r="O12" i="4"/>
  <c r="J12" i="4"/>
  <c r="P11" i="4"/>
  <c r="R11" i="4" s="1"/>
  <c r="O11" i="4"/>
  <c r="H11" i="4"/>
  <c r="K11" i="4"/>
  <c r="E11" i="4"/>
  <c r="AK10" i="3"/>
  <c r="AD10" i="3"/>
  <c r="AO10" i="3" s="1"/>
  <c r="AZ10" i="3" s="1"/>
  <c r="BK10" i="3" s="1"/>
  <c r="BV10" i="3" s="1"/>
  <c r="AA10" i="3"/>
  <c r="AL10" i="3" s="1"/>
  <c r="AW10" i="3" s="1"/>
  <c r="BH10" i="3" s="1"/>
  <c r="BS10" i="3" s="1"/>
  <c r="Z10" i="3"/>
  <c r="P20" i="2"/>
  <c r="P19" i="2"/>
  <c r="R19" i="2" s="1"/>
  <c r="E19" i="2"/>
  <c r="J19" i="2"/>
  <c r="J17" i="2"/>
  <c r="H17" i="2"/>
  <c r="K17" i="2"/>
  <c r="E17" i="2"/>
  <c r="P17" i="2"/>
  <c r="H16" i="2"/>
  <c r="P11" i="2"/>
  <c r="O36" i="1"/>
  <c r="O35" i="1"/>
  <c r="G35" i="1"/>
  <c r="F35" i="1"/>
  <c r="D35" i="1"/>
  <c r="C35" i="1"/>
  <c r="O34" i="1"/>
  <c r="G34" i="1"/>
  <c r="F34" i="1"/>
  <c r="D34" i="1"/>
  <c r="C34" i="1"/>
  <c r="P33" i="1"/>
  <c r="T33" i="1" s="1"/>
  <c r="O33" i="1"/>
  <c r="K33" i="1"/>
  <c r="H33" i="1"/>
  <c r="O32" i="1"/>
  <c r="P31" i="1"/>
  <c r="T31" i="1" s="1"/>
  <c r="O31" i="1"/>
  <c r="K31" i="1"/>
  <c r="H31" i="1"/>
  <c r="E31" i="1"/>
  <c r="P30" i="1"/>
  <c r="T30" i="1" s="1"/>
  <c r="O30" i="1"/>
  <c r="K30" i="1"/>
  <c r="H30" i="1"/>
  <c r="E30" i="1"/>
  <c r="P29" i="1"/>
  <c r="T29" i="1" s="1"/>
  <c r="O29" i="1"/>
  <c r="K29" i="1"/>
  <c r="H29" i="1"/>
  <c r="P28" i="1"/>
  <c r="T28" i="1" s="1"/>
  <c r="O28" i="1"/>
  <c r="K28" i="1"/>
  <c r="P27" i="1"/>
  <c r="T27" i="1" s="1"/>
  <c r="O27" i="1"/>
  <c r="K27" i="1"/>
  <c r="H27" i="1"/>
  <c r="E27" i="1"/>
  <c r="P26" i="1"/>
  <c r="T26" i="1" s="1"/>
  <c r="O26" i="1"/>
  <c r="K26" i="1"/>
  <c r="H26" i="1"/>
  <c r="O25" i="1"/>
  <c r="D25" i="1"/>
  <c r="C25" i="1"/>
  <c r="P24" i="1"/>
  <c r="T24" i="1" s="1"/>
  <c r="O24" i="1"/>
  <c r="K24" i="1"/>
  <c r="H24" i="1"/>
  <c r="P23" i="1"/>
  <c r="T23" i="1" s="1"/>
  <c r="O23" i="1"/>
  <c r="K23" i="1"/>
  <c r="H23" i="1"/>
  <c r="O22" i="1"/>
  <c r="G22" i="1"/>
  <c r="F22" i="1"/>
  <c r="D22" i="1"/>
  <c r="C22" i="1"/>
  <c r="P21" i="1"/>
  <c r="T21" i="1" s="1"/>
  <c r="O21" i="1"/>
  <c r="K21" i="1"/>
  <c r="H21" i="1"/>
  <c r="P20" i="1"/>
  <c r="T20" i="1" s="1"/>
  <c r="O20" i="1"/>
  <c r="K20" i="1"/>
  <c r="H20" i="1"/>
  <c r="O19" i="1"/>
  <c r="G19" i="1"/>
  <c r="F19" i="1"/>
  <c r="D19" i="1"/>
  <c r="C19" i="1"/>
  <c r="O18" i="1"/>
  <c r="H18" i="1"/>
  <c r="O17" i="1"/>
  <c r="L17" i="1"/>
  <c r="K17" i="1"/>
  <c r="H17" i="1"/>
  <c r="P17" i="1"/>
  <c r="O16" i="1"/>
  <c r="G16" i="1"/>
  <c r="F16" i="1"/>
  <c r="L16" i="1" s="1"/>
  <c r="D16" i="1"/>
  <c r="O15" i="1"/>
  <c r="L15" i="1"/>
  <c r="K15" i="1"/>
  <c r="H15" i="1"/>
  <c r="P15" i="1"/>
  <c r="O14" i="1"/>
  <c r="L14" i="1"/>
  <c r="K14" i="1"/>
  <c r="H14" i="1"/>
  <c r="P14" i="1"/>
  <c r="O13" i="1"/>
  <c r="G13" i="1"/>
  <c r="F13" i="1"/>
  <c r="D13" i="1"/>
  <c r="C13" i="1"/>
  <c r="K13" i="1" s="1"/>
  <c r="O12" i="1"/>
  <c r="L12" i="1"/>
  <c r="K12" i="1"/>
  <c r="H12" i="1"/>
  <c r="P12" i="1"/>
  <c r="O11" i="1"/>
  <c r="O10" i="1"/>
  <c r="O9" i="1"/>
  <c r="R15" i="4" l="1"/>
  <c r="K34" i="1"/>
  <c r="P34" i="1"/>
  <c r="T34" i="1" s="1"/>
  <c r="L13" i="1"/>
  <c r="R20" i="1"/>
  <c r="R29" i="1"/>
  <c r="P19" i="1"/>
  <c r="T19" i="1" s="1"/>
  <c r="H35" i="1"/>
  <c r="K35" i="1"/>
  <c r="L35" i="1"/>
  <c r="E22" i="1"/>
  <c r="R19" i="1"/>
  <c r="H34" i="1"/>
  <c r="R28" i="1"/>
  <c r="H22" i="1"/>
  <c r="K22" i="1"/>
  <c r="R24" i="1"/>
  <c r="E19" i="1"/>
  <c r="D11" i="1"/>
  <c r="P22" i="1"/>
  <c r="R23" i="1"/>
  <c r="R27" i="1"/>
  <c r="E13" i="1"/>
  <c r="R26" i="1"/>
  <c r="R33" i="1"/>
  <c r="H19" i="1"/>
  <c r="K25" i="1"/>
  <c r="R31" i="1"/>
  <c r="K19" i="1"/>
  <c r="R21" i="1"/>
  <c r="R30" i="1"/>
  <c r="H13" i="1"/>
  <c r="H16" i="1"/>
  <c r="P25" i="1"/>
  <c r="E34" i="1"/>
  <c r="G25" i="1"/>
  <c r="BC22" i="3"/>
  <c r="BT22" i="3"/>
  <c r="S22" i="3"/>
  <c r="R12" i="1"/>
  <c r="T12" i="1"/>
  <c r="R14" i="1"/>
  <c r="T14" i="1"/>
  <c r="T15" i="1"/>
  <c r="R15" i="1"/>
  <c r="T17" i="1"/>
  <c r="R17" i="1"/>
  <c r="R20" i="2"/>
  <c r="T20" i="2"/>
  <c r="P21" i="2"/>
  <c r="H20" i="2"/>
  <c r="R31" i="3"/>
  <c r="H19" i="2"/>
  <c r="K20" i="2"/>
  <c r="J11" i="3"/>
  <c r="AZ12" i="3"/>
  <c r="AN25" i="3"/>
  <c r="AG19" i="3"/>
  <c r="V22" i="3"/>
  <c r="L18" i="1"/>
  <c r="L19" i="1"/>
  <c r="L20" i="1"/>
  <c r="L21" i="1"/>
  <c r="L22" i="1"/>
  <c r="L23" i="1"/>
  <c r="L24" i="1"/>
  <c r="L26" i="1"/>
  <c r="L27" i="1"/>
  <c r="L29" i="1"/>
  <c r="L30" i="1"/>
  <c r="L31" i="1"/>
  <c r="L33" i="1"/>
  <c r="L34" i="1"/>
  <c r="C15" i="2"/>
  <c r="H12" i="2"/>
  <c r="K19" i="2"/>
  <c r="AV10" i="3"/>
  <c r="E11" i="3"/>
  <c r="U12" i="3"/>
  <c r="N30" i="3"/>
  <c r="N18" i="3"/>
  <c r="U14" i="3"/>
  <c r="AY31" i="3"/>
  <c r="N25" i="3"/>
  <c r="AC25" i="3"/>
  <c r="BK22" i="3"/>
  <c r="C16" i="1"/>
  <c r="E16" i="1" s="1"/>
  <c r="E35" i="1"/>
  <c r="R29" i="3"/>
  <c r="P12" i="3"/>
  <c r="P14" i="3"/>
  <c r="O30" i="3"/>
  <c r="AY25" i="3"/>
  <c r="AC30" i="3"/>
  <c r="G36" i="3" s="1"/>
  <c r="AC18" i="3"/>
  <c r="K18" i="1"/>
  <c r="E12" i="1"/>
  <c r="E14" i="1"/>
  <c r="E15" i="1"/>
  <c r="E17" i="1"/>
  <c r="E18" i="1"/>
  <c r="E20" i="1"/>
  <c r="E21" i="1"/>
  <c r="E23" i="1"/>
  <c r="E24" i="1"/>
  <c r="E25" i="1"/>
  <c r="E26" i="1"/>
  <c r="E28" i="1"/>
  <c r="E29" i="1"/>
  <c r="E33" i="1"/>
  <c r="BU13" i="3"/>
  <c r="AC31" i="3"/>
  <c r="AC27" i="3"/>
  <c r="AC26" i="3"/>
  <c r="P35" i="1"/>
  <c r="T17" i="2"/>
  <c r="R17" i="2"/>
  <c r="T19" i="2"/>
  <c r="C21" i="2"/>
  <c r="H11" i="3"/>
  <c r="AD13" i="3"/>
  <c r="AR22" i="3"/>
  <c r="P13" i="1"/>
  <c r="P18" i="1"/>
  <c r="T11" i="2"/>
  <c r="R11" i="2"/>
  <c r="J20" i="2"/>
  <c r="F21" i="2"/>
  <c r="AD16" i="3"/>
  <c r="U13" i="3"/>
  <c r="N31" i="3"/>
  <c r="U15" i="3"/>
  <c r="AD20" i="3"/>
  <c r="AR21" i="3"/>
  <c r="AY27" i="3"/>
  <c r="AZ23" i="3"/>
  <c r="AY26" i="3"/>
  <c r="J16" i="4"/>
  <c r="P16" i="4"/>
  <c r="T16" i="4" s="1"/>
  <c r="E16" i="4"/>
  <c r="AZ22" i="3"/>
  <c r="AY30" i="3"/>
  <c r="G39" i="3" s="1"/>
  <c r="AY18" i="3"/>
  <c r="G21" i="2"/>
  <c r="AZ14" i="3"/>
  <c r="P13" i="3"/>
  <c r="Z30" i="3"/>
  <c r="D36" i="3" s="1"/>
  <c r="BU17" i="3"/>
  <c r="BT20" i="3"/>
  <c r="H12" i="4"/>
  <c r="K16" i="2"/>
  <c r="D21" i="2"/>
  <c r="AM27" i="3"/>
  <c r="J27" i="4"/>
  <c r="E27" i="4"/>
  <c r="K11" i="3"/>
  <c r="P19" i="3"/>
  <c r="P21" i="3"/>
  <c r="P18" i="4"/>
  <c r="T18" i="4" s="1"/>
  <c r="C24" i="4"/>
  <c r="AR23" i="3"/>
  <c r="BN23" i="3"/>
  <c r="O31" i="3"/>
  <c r="Z31" i="3"/>
  <c r="Z18" i="3"/>
  <c r="U17" i="3"/>
  <c r="H14" i="4"/>
  <c r="Y10" i="3"/>
  <c r="P15" i="3"/>
  <c r="F25" i="4"/>
  <c r="BK13" i="3"/>
  <c r="P20" i="3"/>
  <c r="K13" i="4"/>
  <c r="K20" i="4"/>
  <c r="H20" i="4"/>
  <c r="BN22" i="3"/>
  <c r="BT23" i="3"/>
  <c r="AM26" i="3"/>
  <c r="BI26" i="3"/>
  <c r="H35" i="4"/>
  <c r="T11" i="4"/>
  <c r="H21" i="4"/>
  <c r="H26" i="4"/>
  <c r="R29" i="4"/>
  <c r="E32" i="4"/>
  <c r="E33" i="4"/>
  <c r="K33" i="4"/>
  <c r="J19" i="4"/>
  <c r="T21" i="4"/>
  <c r="K27" i="4"/>
  <c r="H27" i="4"/>
  <c r="J29" i="4"/>
  <c r="H33" i="4"/>
  <c r="K37" i="4"/>
  <c r="H39" i="4"/>
  <c r="K39" i="4"/>
  <c r="P12" i="4"/>
  <c r="K16" i="4"/>
  <c r="H16" i="4"/>
  <c r="D18" i="4"/>
  <c r="J18" i="4" s="1"/>
  <c r="R19" i="4"/>
  <c r="E29" i="4"/>
  <c r="J13" i="4"/>
  <c r="R13" i="4"/>
  <c r="E19" i="4"/>
  <c r="P20" i="4"/>
  <c r="T20" i="4" s="1"/>
  <c r="J21" i="4"/>
  <c r="H28" i="4"/>
  <c r="K29" i="4"/>
  <c r="J32" i="4"/>
  <c r="H37" i="4"/>
  <c r="K12" i="4"/>
  <c r="C14" i="4"/>
  <c r="H17" i="4"/>
  <c r="K19" i="4"/>
  <c r="F18" i="4"/>
  <c r="F24" i="4" s="1"/>
  <c r="P22" i="4"/>
  <c r="T22" i="4" s="1"/>
  <c r="E22" i="4"/>
  <c r="J23" i="4"/>
  <c r="R23" i="4"/>
  <c r="R26" i="4"/>
  <c r="R27" i="4"/>
  <c r="K14" i="4"/>
  <c r="D14" i="4"/>
  <c r="E15" i="4"/>
  <c r="R16" i="4"/>
  <c r="R32" i="4"/>
  <c r="K35" i="4"/>
  <c r="D35" i="4"/>
  <c r="E36" i="4"/>
  <c r="J11" i="4"/>
  <c r="D25" i="4"/>
  <c r="R36" i="4"/>
  <c r="C36" i="6"/>
  <c r="E12" i="4"/>
  <c r="H13" i="4"/>
  <c r="P17" i="4"/>
  <c r="G18" i="4"/>
  <c r="R20" i="4"/>
  <c r="K21" i="4"/>
  <c r="E26" i="4"/>
  <c r="H29" i="4"/>
  <c r="K32" i="4"/>
  <c r="C82" i="6"/>
  <c r="R28" i="4"/>
  <c r="P33" i="4"/>
  <c r="J37" i="4"/>
  <c r="P37" i="4"/>
  <c r="T39" i="4"/>
  <c r="C70" i="5"/>
  <c r="D75" i="6"/>
  <c r="E31" i="7"/>
  <c r="C35" i="4"/>
  <c r="D82" i="6"/>
  <c r="J21" i="10"/>
  <c r="C40" i="6"/>
  <c r="D40" i="6"/>
  <c r="J35" i="10"/>
  <c r="D25" i="6"/>
  <c r="D36" i="6"/>
  <c r="C59" i="6"/>
  <c r="K30" i="10"/>
  <c r="H30" i="10"/>
  <c r="D59" i="6"/>
  <c r="C75" i="6"/>
  <c r="G31" i="8"/>
  <c r="C25" i="6"/>
  <c r="G24" i="8"/>
  <c r="K14" i="10"/>
  <c r="H14" i="10"/>
  <c r="D11" i="11"/>
  <c r="J17" i="10"/>
  <c r="E17" i="10"/>
  <c r="J29" i="10"/>
  <c r="D27" i="10"/>
  <c r="C46" i="12"/>
  <c r="G13" i="8"/>
  <c r="G17" i="8" s="1"/>
  <c r="J13" i="10"/>
  <c r="D11" i="10"/>
  <c r="E13" i="10"/>
  <c r="J25" i="10"/>
  <c r="K20" i="11"/>
  <c r="H20" i="11"/>
  <c r="F16" i="11"/>
  <c r="F25" i="8"/>
  <c r="D19" i="12"/>
  <c r="C52" i="7"/>
  <c r="D49" i="7" s="1"/>
  <c r="D48" i="7"/>
  <c r="K25" i="11"/>
  <c r="H25" i="11"/>
  <c r="K22" i="10"/>
  <c r="H22" i="10"/>
  <c r="C70" i="13"/>
  <c r="C76" i="13"/>
  <c r="J15" i="10"/>
  <c r="G18" i="10"/>
  <c r="E21" i="10"/>
  <c r="J23" i="10"/>
  <c r="E25" i="10"/>
  <c r="E29" i="10"/>
  <c r="G37" i="10"/>
  <c r="K37" i="10" s="1"/>
  <c r="C37" i="10"/>
  <c r="E39" i="10"/>
  <c r="C11" i="11"/>
  <c r="K14" i="11"/>
  <c r="J19" i="11"/>
  <c r="E28" i="11"/>
  <c r="C27" i="11"/>
  <c r="J28" i="11"/>
  <c r="D23" i="13"/>
  <c r="D34" i="13"/>
  <c r="E36" i="7"/>
  <c r="K12" i="11"/>
  <c r="H12" i="11"/>
  <c r="F11" i="11"/>
  <c r="C16" i="11"/>
  <c r="C27" i="12"/>
  <c r="C38" i="13"/>
  <c r="F36" i="7"/>
  <c r="F18" i="8"/>
  <c r="G22" i="8"/>
  <c r="F32" i="8"/>
  <c r="C11" i="10"/>
  <c r="E12" i="10"/>
  <c r="J14" i="10"/>
  <c r="E16" i="10"/>
  <c r="E20" i="10"/>
  <c r="J22" i="10"/>
  <c r="E28" i="10"/>
  <c r="J30" i="10"/>
  <c r="K13" i="11"/>
  <c r="H29" i="11"/>
  <c r="D27" i="12"/>
  <c r="D32" i="12" s="1"/>
  <c r="C30" i="14"/>
  <c r="F31" i="8"/>
  <c r="H13" i="10"/>
  <c r="H17" i="10"/>
  <c r="H21" i="10"/>
  <c r="H25" i="10"/>
  <c r="H29" i="10"/>
  <c r="J32" i="10"/>
  <c r="K41" i="10"/>
  <c r="G15" i="11"/>
  <c r="F27" i="11"/>
  <c r="H31" i="11"/>
  <c r="C19" i="12"/>
  <c r="C58" i="12"/>
  <c r="D30" i="14"/>
  <c r="C31" i="12"/>
  <c r="F11" i="10"/>
  <c r="F19" i="10"/>
  <c r="F27" i="10"/>
  <c r="E32" i="10"/>
  <c r="K38" i="10"/>
  <c r="H41" i="10"/>
  <c r="C23" i="11"/>
  <c r="E24" i="11"/>
  <c r="K29" i="11"/>
  <c r="K31" i="11"/>
  <c r="C34" i="13"/>
  <c r="E30" i="10"/>
  <c r="K32" i="10"/>
  <c r="H32" i="10"/>
  <c r="E35" i="10"/>
  <c r="J12" i="11"/>
  <c r="H17" i="11"/>
  <c r="E20" i="11"/>
  <c r="K24" i="11"/>
  <c r="H24" i="11"/>
  <c r="F23" i="11"/>
  <c r="C65" i="12"/>
  <c r="D70" i="13"/>
  <c r="J41" i="10"/>
  <c r="J13" i="11"/>
  <c r="J17" i="11"/>
  <c r="J21" i="11"/>
  <c r="J25" i="11"/>
  <c r="D76" i="13"/>
  <c r="D46" i="12"/>
  <c r="D58" i="12"/>
  <c r="D38" i="13"/>
  <c r="C56" i="13"/>
  <c r="C40" i="14"/>
  <c r="C53" i="14"/>
  <c r="C23" i="13"/>
  <c r="D56" i="13"/>
  <c r="C72" i="14"/>
  <c r="D72" i="14"/>
  <c r="C11" i="14"/>
  <c r="D11" i="14"/>
  <c r="D65" i="12"/>
  <c r="D40" i="14"/>
  <c r="C73" i="14"/>
  <c r="C74" i="14"/>
  <c r="D50" i="7" l="1"/>
  <c r="R34" i="1"/>
  <c r="R18" i="4"/>
  <c r="T22" i="1"/>
  <c r="R22" i="1"/>
  <c r="T25" i="1"/>
  <c r="R25" i="1"/>
  <c r="D32" i="1"/>
  <c r="D36" i="1" s="1"/>
  <c r="C18" i="2"/>
  <c r="D33" i="12"/>
  <c r="BU25" i="3"/>
  <c r="BT17" i="3"/>
  <c r="BV17" i="3" s="1"/>
  <c r="AM25" i="3"/>
  <c r="AR17" i="3"/>
  <c r="H13" i="2"/>
  <c r="AK25" i="3"/>
  <c r="J16" i="11"/>
  <c r="E16" i="11"/>
  <c r="J24" i="10"/>
  <c r="E24" i="10"/>
  <c r="G19" i="8"/>
  <c r="P30" i="4"/>
  <c r="J30" i="4"/>
  <c r="F26" i="3"/>
  <c r="BN16" i="3"/>
  <c r="BN12" i="3"/>
  <c r="BN19" i="3"/>
  <c r="P16" i="3"/>
  <c r="BC16" i="3"/>
  <c r="AZ16" i="3"/>
  <c r="AG12" i="3"/>
  <c r="BC19" i="3"/>
  <c r="T35" i="1"/>
  <c r="R35" i="1"/>
  <c r="R30" i="3"/>
  <c r="G35" i="3" s="1"/>
  <c r="R18" i="3"/>
  <c r="S14" i="3"/>
  <c r="BK23" i="3"/>
  <c r="BJ26" i="3"/>
  <c r="BJ27" i="3"/>
  <c r="K11" i="2"/>
  <c r="F15" i="2"/>
  <c r="AK30" i="3"/>
  <c r="D38" i="3" s="1"/>
  <c r="AK18" i="3"/>
  <c r="E11" i="2"/>
  <c r="D15" i="2"/>
  <c r="J15" i="2" s="1"/>
  <c r="BK16" i="3"/>
  <c r="V13" i="3"/>
  <c r="AD12" i="3"/>
  <c r="E11" i="11"/>
  <c r="C15" i="11"/>
  <c r="J11" i="11"/>
  <c r="K16" i="11"/>
  <c r="H16" i="11"/>
  <c r="E27" i="10"/>
  <c r="P14" i="2"/>
  <c r="J14" i="2"/>
  <c r="BK20" i="3"/>
  <c r="D52" i="14"/>
  <c r="G25" i="8"/>
  <c r="J27" i="11"/>
  <c r="E27" i="11"/>
  <c r="J37" i="10"/>
  <c r="E37" i="10"/>
  <c r="D47" i="7"/>
  <c r="D52" i="7"/>
  <c r="D51" i="7"/>
  <c r="F37" i="7"/>
  <c r="P35" i="4"/>
  <c r="J35" i="4"/>
  <c r="C84" i="6"/>
  <c r="K18" i="4"/>
  <c r="R12" i="4"/>
  <c r="T12" i="4"/>
  <c r="H30" i="4"/>
  <c r="BT26" i="3"/>
  <c r="BT16" i="3"/>
  <c r="AR16" i="3"/>
  <c r="BT12" i="3"/>
  <c r="AR12" i="3"/>
  <c r="AD22" i="3"/>
  <c r="BI27" i="3"/>
  <c r="P24" i="4"/>
  <c r="AX25" i="3"/>
  <c r="BC17" i="3"/>
  <c r="AZ17" i="3"/>
  <c r="AG13" i="3"/>
  <c r="U16" i="3"/>
  <c r="F25" i="1"/>
  <c r="H25" i="1" s="1"/>
  <c r="L28" i="1"/>
  <c r="D35" i="3"/>
  <c r="P38" i="3"/>
  <c r="E12" i="2"/>
  <c r="G14" i="3"/>
  <c r="Q30" i="3"/>
  <c r="Q18" i="3"/>
  <c r="V14" i="3"/>
  <c r="E14" i="2"/>
  <c r="G15" i="3"/>
  <c r="AX31" i="3"/>
  <c r="BC15" i="3"/>
  <c r="AZ15" i="3"/>
  <c r="K21" i="2"/>
  <c r="K11" i="10"/>
  <c r="F18" i="10"/>
  <c r="H11" i="10"/>
  <c r="G22" i="11"/>
  <c r="C52" i="14"/>
  <c r="D39" i="13"/>
  <c r="E23" i="11"/>
  <c r="J23" i="11"/>
  <c r="C19" i="10"/>
  <c r="H11" i="11"/>
  <c r="F15" i="11"/>
  <c r="K11" i="11"/>
  <c r="C78" i="13"/>
  <c r="C85" i="13"/>
  <c r="D15" i="11"/>
  <c r="D41" i="6"/>
  <c r="D19" i="10"/>
  <c r="H18" i="4"/>
  <c r="G24" i="4"/>
  <c r="C25" i="4"/>
  <c r="E25" i="4" s="1"/>
  <c r="G25" i="4"/>
  <c r="K25" i="4" s="1"/>
  <c r="BN15" i="3"/>
  <c r="BI31" i="3"/>
  <c r="AD21" i="3"/>
  <c r="P22" i="3"/>
  <c r="BC23" i="3"/>
  <c r="AX27" i="3"/>
  <c r="AX26" i="3"/>
  <c r="S16" i="3"/>
  <c r="AB30" i="3"/>
  <c r="AG14" i="3"/>
  <c r="AB18" i="3"/>
  <c r="AD18" i="3" s="1"/>
  <c r="E16" i="2"/>
  <c r="BK12" i="3"/>
  <c r="BK19" i="3"/>
  <c r="O18" i="3"/>
  <c r="U18" i="3" s="1"/>
  <c r="AK27" i="3"/>
  <c r="AK26" i="3"/>
  <c r="Q31" i="3"/>
  <c r="V15" i="3"/>
  <c r="K12" i="2"/>
  <c r="AN31" i="3"/>
  <c r="BU15" i="3"/>
  <c r="AO15" i="3"/>
  <c r="AN30" i="3"/>
  <c r="G38" i="3" s="1"/>
  <c r="AN18" i="3"/>
  <c r="AO14" i="3"/>
  <c r="BU14" i="3"/>
  <c r="V12" i="3"/>
  <c r="C32" i="12"/>
  <c r="G19" i="10"/>
  <c r="G26" i="10" s="1"/>
  <c r="D18" i="10"/>
  <c r="T17" i="4"/>
  <c r="R17" i="4"/>
  <c r="R22" i="4"/>
  <c r="D24" i="4"/>
  <c r="J24" i="4" s="1"/>
  <c r="E18" i="4"/>
  <c r="U22" i="3"/>
  <c r="BT15" i="3"/>
  <c r="AM31" i="3"/>
  <c r="AR15" i="3"/>
  <c r="AZ20" i="3"/>
  <c r="P23" i="3"/>
  <c r="O27" i="3"/>
  <c r="O26" i="3"/>
  <c r="BC21" i="3"/>
  <c r="BT21" i="3"/>
  <c r="H21" i="2"/>
  <c r="AG15" i="3"/>
  <c r="AB31" i="3"/>
  <c r="AD15" i="3"/>
  <c r="BJ31" i="3"/>
  <c r="BK15" i="3"/>
  <c r="H11" i="2"/>
  <c r="BU16" i="3"/>
  <c r="AO16" i="3"/>
  <c r="BU12" i="3"/>
  <c r="AO12" i="3"/>
  <c r="AO21" i="3"/>
  <c r="BU21" i="3"/>
  <c r="G16" i="3"/>
  <c r="S20" i="3"/>
  <c r="E20" i="2"/>
  <c r="V16" i="3"/>
  <c r="J11" i="2"/>
  <c r="S15" i="3"/>
  <c r="BN26" i="3"/>
  <c r="BK26" i="3"/>
  <c r="F28" i="3"/>
  <c r="U19" i="3"/>
  <c r="AO20" i="3"/>
  <c r="BU20" i="3"/>
  <c r="C41" i="6"/>
  <c r="E37" i="7"/>
  <c r="T37" i="4"/>
  <c r="R37" i="4"/>
  <c r="AZ21" i="3"/>
  <c r="BI30" i="3"/>
  <c r="BN14" i="3"/>
  <c r="BI18" i="3"/>
  <c r="AD19" i="3"/>
  <c r="N27" i="3"/>
  <c r="N26" i="3"/>
  <c r="U23" i="3"/>
  <c r="BC12" i="3"/>
  <c r="BN20" i="3"/>
  <c r="U31" i="3"/>
  <c r="P31" i="3"/>
  <c r="AG16" i="3"/>
  <c r="H14" i="2"/>
  <c r="S12" i="3"/>
  <c r="Q27" i="3"/>
  <c r="V23" i="3"/>
  <c r="Q26" i="3"/>
  <c r="S23" i="3"/>
  <c r="R27" i="3"/>
  <c r="R26" i="3"/>
  <c r="E13" i="2"/>
  <c r="P16" i="1"/>
  <c r="C11" i="1"/>
  <c r="K16" i="1"/>
  <c r="AO17" i="3"/>
  <c r="BG10" i="3"/>
  <c r="V20" i="3"/>
  <c r="Q25" i="3"/>
  <c r="V17" i="3"/>
  <c r="R21" i="2"/>
  <c r="T21" i="2"/>
  <c r="G11" i="1"/>
  <c r="R33" i="4"/>
  <c r="T33" i="4"/>
  <c r="BT13" i="3"/>
  <c r="AR13" i="3"/>
  <c r="AO22" i="3"/>
  <c r="BU22" i="3"/>
  <c r="D67" i="12"/>
  <c r="C67" i="12"/>
  <c r="F33" i="8"/>
  <c r="J27" i="10"/>
  <c r="F34" i="8"/>
  <c r="E35" i="4"/>
  <c r="E14" i="4"/>
  <c r="P14" i="4"/>
  <c r="J14" i="4"/>
  <c r="K24" i="4"/>
  <c r="F31" i="4"/>
  <c r="U20" i="3"/>
  <c r="AM30" i="3"/>
  <c r="BT14" i="3"/>
  <c r="AM18" i="3"/>
  <c r="AR14" i="3"/>
  <c r="Z26" i="3"/>
  <c r="Z27" i="3"/>
  <c r="AA23" i="3"/>
  <c r="AA22" i="3"/>
  <c r="AA21" i="3"/>
  <c r="AJ10" i="3"/>
  <c r="Z25" i="3"/>
  <c r="AA17" i="3"/>
  <c r="BN21" i="3"/>
  <c r="E21" i="2"/>
  <c r="BJ25" i="3"/>
  <c r="BK17" i="3"/>
  <c r="BC13" i="3"/>
  <c r="AZ13" i="3"/>
  <c r="AG20" i="3"/>
  <c r="AB25" i="3"/>
  <c r="AG17" i="3"/>
  <c r="R18" i="1"/>
  <c r="T18" i="1"/>
  <c r="G24" i="3"/>
  <c r="AO19" i="3"/>
  <c r="BU19" i="3"/>
  <c r="G15" i="2"/>
  <c r="AG22" i="3"/>
  <c r="S19" i="3"/>
  <c r="AK31" i="3"/>
  <c r="V19" i="3"/>
  <c r="P13" i="2"/>
  <c r="J13" i="2"/>
  <c r="AO13" i="3"/>
  <c r="AD14" i="3"/>
  <c r="BK21" i="3"/>
  <c r="H28" i="1"/>
  <c r="AA16" i="3"/>
  <c r="AR19" i="3"/>
  <c r="BT19" i="3"/>
  <c r="R25" i="3"/>
  <c r="S17" i="3"/>
  <c r="D85" i="13"/>
  <c r="D78" i="13"/>
  <c r="H23" i="11"/>
  <c r="K23" i="11"/>
  <c r="K27" i="10"/>
  <c r="H27" i="10"/>
  <c r="K27" i="11"/>
  <c r="H27" i="11"/>
  <c r="H24" i="10"/>
  <c r="K24" i="10"/>
  <c r="C18" i="10"/>
  <c r="E11" i="10"/>
  <c r="J11" i="10"/>
  <c r="C39" i="13"/>
  <c r="H37" i="10"/>
  <c r="F27" i="8"/>
  <c r="G33" i="8"/>
  <c r="F19" i="8"/>
  <c r="D84" i="6"/>
  <c r="E30" i="4"/>
  <c r="BI25" i="3"/>
  <c r="BN17" i="3"/>
  <c r="BN13" i="3"/>
  <c r="O25" i="3"/>
  <c r="P25" i="3" s="1"/>
  <c r="P17" i="3"/>
  <c r="K30" i="4"/>
  <c r="U21" i="3"/>
  <c r="P16" i="2"/>
  <c r="J16" i="2"/>
  <c r="AD17" i="3"/>
  <c r="AX30" i="3"/>
  <c r="BC14" i="3"/>
  <c r="AX18" i="3"/>
  <c r="G27" i="3"/>
  <c r="AZ19" i="3"/>
  <c r="AG23" i="3"/>
  <c r="AB27" i="3"/>
  <c r="AB26" i="3"/>
  <c r="R13" i="1"/>
  <c r="T13" i="1"/>
  <c r="J21" i="2"/>
  <c r="AD23" i="3"/>
  <c r="BJ30" i="3"/>
  <c r="G40" i="3" s="1"/>
  <c r="BJ18" i="3"/>
  <c r="BK14" i="3"/>
  <c r="AO23" i="3"/>
  <c r="AN27" i="3"/>
  <c r="AN26" i="3"/>
  <c r="BU23" i="3"/>
  <c r="BY23" i="3" s="1"/>
  <c r="K14" i="2"/>
  <c r="BC20" i="3"/>
  <c r="S21" i="3"/>
  <c r="C13" i="3"/>
  <c r="C35" i="3"/>
  <c r="P30" i="3"/>
  <c r="U30" i="3"/>
  <c r="V21" i="3"/>
  <c r="AR20" i="3"/>
  <c r="S13" i="3"/>
  <c r="J12" i="2"/>
  <c r="P12" i="2"/>
  <c r="K13" i="2"/>
  <c r="AG21" i="3"/>
  <c r="U25" i="3" l="1"/>
  <c r="BR23" i="3"/>
  <c r="G32" i="1"/>
  <c r="AV25" i="3"/>
  <c r="C33" i="12"/>
  <c r="D22" i="11"/>
  <c r="C79" i="13"/>
  <c r="C67" i="14"/>
  <c r="BC31" i="3"/>
  <c r="AZ31" i="3"/>
  <c r="T30" i="4"/>
  <c r="R30" i="4"/>
  <c r="D15" i="3"/>
  <c r="F35" i="8"/>
  <c r="D79" i="13"/>
  <c r="T13" i="2"/>
  <c r="R13" i="2"/>
  <c r="AG25" i="3"/>
  <c r="AD25" i="3"/>
  <c r="F14" i="3"/>
  <c r="H14" i="3" s="1"/>
  <c r="AF16" i="3"/>
  <c r="Y30" i="3"/>
  <c r="AF14" i="3"/>
  <c r="Y18" i="3"/>
  <c r="AA14" i="3"/>
  <c r="BR10" i="3"/>
  <c r="BR12" i="3"/>
  <c r="AG31" i="3"/>
  <c r="AD31" i="3"/>
  <c r="BU31" i="3"/>
  <c r="BV15" i="3"/>
  <c r="V31" i="3"/>
  <c r="S31" i="3"/>
  <c r="H25" i="4"/>
  <c r="E19" i="10"/>
  <c r="J19" i="10"/>
  <c r="G26" i="11"/>
  <c r="E35" i="3"/>
  <c r="T35" i="4"/>
  <c r="R35" i="4"/>
  <c r="G26" i="3"/>
  <c r="K26" i="3" s="1"/>
  <c r="E18" i="10"/>
  <c r="C26" i="10"/>
  <c r="J18" i="10"/>
  <c r="G33" i="10"/>
  <c r="AF22" i="3"/>
  <c r="F34" i="4"/>
  <c r="BR13" i="3"/>
  <c r="P11" i="1"/>
  <c r="K11" i="1"/>
  <c r="K32" i="1" s="1"/>
  <c r="K36" i="1" s="1"/>
  <c r="C32" i="1"/>
  <c r="J11" i="1" s="1"/>
  <c r="E11" i="1"/>
  <c r="V26" i="3"/>
  <c r="S26" i="3"/>
  <c r="F23" i="3"/>
  <c r="BV16" i="3"/>
  <c r="AR31" i="3"/>
  <c r="AO31" i="3"/>
  <c r="E24" i="4"/>
  <c r="D31" i="4"/>
  <c r="BC26" i="3"/>
  <c r="AZ26" i="3"/>
  <c r="F27" i="3"/>
  <c r="D42" i="6"/>
  <c r="C31" i="4"/>
  <c r="C85" i="6"/>
  <c r="D18" i="2"/>
  <c r="J18" i="2" s="1"/>
  <c r="E15" i="2"/>
  <c r="AO26" i="3"/>
  <c r="BC18" i="3"/>
  <c r="BV19" i="3"/>
  <c r="D24" i="3"/>
  <c r="R12" i="2"/>
  <c r="T12" i="2"/>
  <c r="P15" i="2"/>
  <c r="N35" i="3"/>
  <c r="J35" i="3"/>
  <c r="C40" i="13"/>
  <c r="AF13" i="3"/>
  <c r="AA13" i="3"/>
  <c r="AF20" i="3"/>
  <c r="AA20" i="3"/>
  <c r="AR18" i="3"/>
  <c r="BT18" i="3"/>
  <c r="BY13" i="3"/>
  <c r="R16" i="1"/>
  <c r="T16" i="1"/>
  <c r="BN18" i="3"/>
  <c r="BV21" i="3"/>
  <c r="D23" i="3"/>
  <c r="BT31" i="3"/>
  <c r="BY15" i="3"/>
  <c r="BU30" i="3"/>
  <c r="BV14" i="3"/>
  <c r="D26" i="3"/>
  <c r="J25" i="4"/>
  <c r="P25" i="4"/>
  <c r="BV13" i="3"/>
  <c r="BY12" i="3"/>
  <c r="G27" i="8"/>
  <c r="G35" i="8" s="1"/>
  <c r="C22" i="11"/>
  <c r="E15" i="11"/>
  <c r="J15" i="11"/>
  <c r="F18" i="2"/>
  <c r="K15" i="2"/>
  <c r="S18" i="3"/>
  <c r="AR26" i="3"/>
  <c r="F39" i="3"/>
  <c r="AZ30" i="3"/>
  <c r="BC30" i="3"/>
  <c r="AU10" i="3"/>
  <c r="H27" i="3"/>
  <c r="Y31" i="3"/>
  <c r="AF15" i="3"/>
  <c r="AA15" i="3"/>
  <c r="Y27" i="3"/>
  <c r="Y26" i="3"/>
  <c r="AF23" i="3"/>
  <c r="BT30" i="3"/>
  <c r="BY14" i="3"/>
  <c r="D68" i="12"/>
  <c r="AV30" i="3"/>
  <c r="D39" i="3" s="1"/>
  <c r="AV18" i="3"/>
  <c r="P26" i="3"/>
  <c r="C23" i="3"/>
  <c r="U26" i="3"/>
  <c r="C53" i="7"/>
  <c r="D26" i="10"/>
  <c r="P18" i="3"/>
  <c r="AG18" i="3"/>
  <c r="G31" i="4"/>
  <c r="K31" i="4" s="1"/>
  <c r="H24" i="4"/>
  <c r="K18" i="10"/>
  <c r="H18" i="10"/>
  <c r="F26" i="10"/>
  <c r="T24" i="4"/>
  <c r="R24" i="4"/>
  <c r="T14" i="2"/>
  <c r="R14" i="2"/>
  <c r="G34" i="8"/>
  <c r="G17" i="3"/>
  <c r="BK18" i="3"/>
  <c r="BN25" i="3"/>
  <c r="BK25" i="3"/>
  <c r="F17" i="3"/>
  <c r="G13" i="3"/>
  <c r="AF21" i="3"/>
  <c r="AO30" i="3"/>
  <c r="F38" i="3"/>
  <c r="AR30" i="3"/>
  <c r="V25" i="3"/>
  <c r="S25" i="3"/>
  <c r="F13" i="3"/>
  <c r="AV26" i="3"/>
  <c r="AV27" i="3"/>
  <c r="BK30" i="3"/>
  <c r="BN30" i="3"/>
  <c r="F40" i="3"/>
  <c r="K40" i="3" s="1"/>
  <c r="AO18" i="3"/>
  <c r="BU18" i="3"/>
  <c r="F22" i="11"/>
  <c r="H15" i="11"/>
  <c r="K15" i="11"/>
  <c r="BY16" i="3"/>
  <c r="D71" i="5"/>
  <c r="BR21" i="3"/>
  <c r="BR14" i="3"/>
  <c r="AR25" i="3"/>
  <c r="AO25" i="3"/>
  <c r="F15" i="3"/>
  <c r="H15" i="3" s="1"/>
  <c r="AF12" i="3"/>
  <c r="AA12" i="3"/>
  <c r="D13" i="3"/>
  <c r="J13" i="3" s="1"/>
  <c r="D85" i="6"/>
  <c r="AF19" i="3"/>
  <c r="T14" i="4"/>
  <c r="R14" i="4"/>
  <c r="C68" i="12"/>
  <c r="AV31" i="3"/>
  <c r="G23" i="3"/>
  <c r="BV20" i="3"/>
  <c r="BY21" i="3"/>
  <c r="BY20" i="3"/>
  <c r="D40" i="13"/>
  <c r="V18" i="3"/>
  <c r="F11" i="1"/>
  <c r="L25" i="1"/>
  <c r="H19" i="10"/>
  <c r="BR17" i="3"/>
  <c r="BT25" i="3"/>
  <c r="BY17" i="3"/>
  <c r="BU27" i="3"/>
  <c r="BV23" i="3"/>
  <c r="BU26" i="3"/>
  <c r="AG26" i="3"/>
  <c r="AD26" i="3"/>
  <c r="F24" i="3"/>
  <c r="H24" i="3" s="1"/>
  <c r="T16" i="2"/>
  <c r="R16" i="2"/>
  <c r="BY19" i="3"/>
  <c r="G18" i="2"/>
  <c r="H15" i="2"/>
  <c r="D14" i="3"/>
  <c r="Y25" i="3"/>
  <c r="AF17" i="3"/>
  <c r="BV22" i="3"/>
  <c r="AZ18" i="3"/>
  <c r="C42" i="6"/>
  <c r="BV12" i="3"/>
  <c r="H38" i="3"/>
  <c r="G37" i="3"/>
  <c r="G41" i="3" s="1"/>
  <c r="AD30" i="3"/>
  <c r="AG30" i="3"/>
  <c r="F36" i="3"/>
  <c r="BN31" i="3"/>
  <c r="BK31" i="3"/>
  <c r="BY22" i="3"/>
  <c r="F35" i="3"/>
  <c r="H35" i="3" s="1"/>
  <c r="S30" i="3"/>
  <c r="V30" i="3"/>
  <c r="BC25" i="3"/>
  <c r="AZ25" i="3"/>
  <c r="F16" i="3"/>
  <c r="BT27" i="3"/>
  <c r="D67" i="14"/>
  <c r="K19" i="10"/>
  <c r="G28" i="3"/>
  <c r="K28" i="3" s="1"/>
  <c r="AA19" i="3"/>
  <c r="C22" i="2"/>
  <c r="D27" i="3" l="1"/>
  <c r="T25" i="4"/>
  <c r="R25" i="4"/>
  <c r="BY18" i="3"/>
  <c r="D22" i="2"/>
  <c r="J22" i="2" s="1"/>
  <c r="E18" i="2"/>
  <c r="C72" i="12"/>
  <c r="K15" i="3"/>
  <c r="D33" i="10"/>
  <c r="BF10" i="3"/>
  <c r="K18" i="2"/>
  <c r="F22" i="2"/>
  <c r="G36" i="10"/>
  <c r="BG27" i="3"/>
  <c r="BG26" i="3"/>
  <c r="D83" i="13"/>
  <c r="C75" i="14"/>
  <c r="G36" i="1"/>
  <c r="F32" i="1"/>
  <c r="H32" i="1" s="1"/>
  <c r="L11" i="1"/>
  <c r="L32" i="1" s="1"/>
  <c r="L36" i="1" s="1"/>
  <c r="D89" i="6"/>
  <c r="BR30" i="3"/>
  <c r="K17" i="3"/>
  <c r="D75" i="14"/>
  <c r="E13" i="3"/>
  <c r="F26" i="11"/>
  <c r="K22" i="11"/>
  <c r="H22" i="11"/>
  <c r="BR20" i="3"/>
  <c r="K38" i="3"/>
  <c r="F37" i="3"/>
  <c r="K37" i="3" s="1"/>
  <c r="BV30" i="3"/>
  <c r="BY30" i="3"/>
  <c r="AF31" i="3"/>
  <c r="AA31" i="3"/>
  <c r="AQ20" i="3"/>
  <c r="AL20" i="3"/>
  <c r="K39" i="3"/>
  <c r="H39" i="3"/>
  <c r="R35" i="3"/>
  <c r="P35" i="3"/>
  <c r="C71" i="5"/>
  <c r="K27" i="3"/>
  <c r="T11" i="1"/>
  <c r="R11" i="1"/>
  <c r="F38" i="4"/>
  <c r="F41" i="4"/>
  <c r="F25" i="3"/>
  <c r="F29" i="3" s="1"/>
  <c r="BR19" i="3"/>
  <c r="H11" i="1"/>
  <c r="K23" i="3"/>
  <c r="K35" i="3"/>
  <c r="H23" i="3"/>
  <c r="BV18" i="3"/>
  <c r="F33" i="10"/>
  <c r="K26" i="10"/>
  <c r="H26" i="10"/>
  <c r="AQ12" i="3"/>
  <c r="AL12" i="3"/>
  <c r="AJ27" i="3"/>
  <c r="AJ26" i="3"/>
  <c r="AQ23" i="3"/>
  <c r="AL23" i="3"/>
  <c r="BY31" i="3"/>
  <c r="BV31" i="3"/>
  <c r="C89" i="6"/>
  <c r="G30" i="11"/>
  <c r="BG31" i="3"/>
  <c r="BR15" i="3"/>
  <c r="K14" i="3"/>
  <c r="H28" i="3"/>
  <c r="BR25" i="3"/>
  <c r="AJ31" i="3"/>
  <c r="AQ15" i="3"/>
  <c r="AL15" i="3"/>
  <c r="H26" i="3"/>
  <c r="G25" i="3"/>
  <c r="G29" i="3" s="1"/>
  <c r="H40" i="3"/>
  <c r="G34" i="4"/>
  <c r="H31" i="4"/>
  <c r="AJ30" i="3"/>
  <c r="AQ14" i="3"/>
  <c r="AJ18" i="3"/>
  <c r="AL14" i="3"/>
  <c r="AQ19" i="3"/>
  <c r="AL19" i="3"/>
  <c r="T15" i="2"/>
  <c r="R15" i="2"/>
  <c r="P18" i="2"/>
  <c r="C34" i="4"/>
  <c r="J31" i="4"/>
  <c r="P31" i="4"/>
  <c r="C33" i="10"/>
  <c r="E26" i="10"/>
  <c r="J26" i="10"/>
  <c r="BR16" i="3"/>
  <c r="AF18" i="3"/>
  <c r="AA18" i="3"/>
  <c r="BV26" i="3"/>
  <c r="C83" i="13"/>
  <c r="K16" i="3"/>
  <c r="J23" i="3"/>
  <c r="AA26" i="3"/>
  <c r="AF26" i="3"/>
  <c r="C24" i="3"/>
  <c r="AQ16" i="3"/>
  <c r="AL16" i="3"/>
  <c r="AQ21" i="3"/>
  <c r="AL21" i="3"/>
  <c r="H16" i="3"/>
  <c r="BG25" i="3"/>
  <c r="BY26" i="3"/>
  <c r="K24" i="3"/>
  <c r="F12" i="3"/>
  <c r="K13" i="3"/>
  <c r="H13" i="3"/>
  <c r="G12" i="3"/>
  <c r="H17" i="3"/>
  <c r="D72" i="12"/>
  <c r="AJ25" i="3"/>
  <c r="AQ17" i="3"/>
  <c r="AL17" i="3"/>
  <c r="AQ22" i="3"/>
  <c r="AL22" i="3"/>
  <c r="E22" i="11"/>
  <c r="C26" i="11"/>
  <c r="J22" i="11"/>
  <c r="E31" i="4"/>
  <c r="D34" i="4"/>
  <c r="D26" i="11"/>
  <c r="D16" i="3"/>
  <c r="BR26" i="3"/>
  <c r="K36" i="3"/>
  <c r="H36" i="3"/>
  <c r="AA25" i="3"/>
  <c r="AF25" i="3"/>
  <c r="C14" i="3"/>
  <c r="G22" i="2"/>
  <c r="H18" i="2"/>
  <c r="BY25" i="3"/>
  <c r="BV25" i="3"/>
  <c r="AQ13" i="3"/>
  <c r="AL13" i="3"/>
  <c r="E23" i="3"/>
  <c r="J23" i="1"/>
  <c r="P32" i="1"/>
  <c r="J25" i="1"/>
  <c r="J34" i="1"/>
  <c r="J22" i="1"/>
  <c r="J18" i="1"/>
  <c r="J14" i="1"/>
  <c r="C36" i="1"/>
  <c r="J31" i="1"/>
  <c r="J29" i="1"/>
  <c r="J26" i="1"/>
  <c r="J27" i="1"/>
  <c r="J20" i="1"/>
  <c r="J15" i="1"/>
  <c r="J13" i="1"/>
  <c r="J32" i="1"/>
  <c r="J24" i="1"/>
  <c r="J19" i="1"/>
  <c r="J12" i="1"/>
  <c r="J33" i="1"/>
  <c r="J30" i="1"/>
  <c r="J28" i="1"/>
  <c r="J21" i="1"/>
  <c r="J17" i="1"/>
  <c r="J35" i="1"/>
  <c r="J16" i="1"/>
  <c r="E32" i="1"/>
  <c r="BG18" i="3"/>
  <c r="BG30" i="3"/>
  <c r="D40" i="3" s="1"/>
  <c r="AA30" i="3"/>
  <c r="AF30" i="3"/>
  <c r="C36" i="3"/>
  <c r="BR22" i="3"/>
  <c r="F41" i="3" l="1"/>
  <c r="H41" i="3" s="1"/>
  <c r="H37" i="3"/>
  <c r="H29" i="3"/>
  <c r="G31" i="3"/>
  <c r="G32" i="11"/>
  <c r="BB16" i="3"/>
  <c r="AW16" i="3"/>
  <c r="J36" i="3"/>
  <c r="N36" i="3"/>
  <c r="E36" i="3"/>
  <c r="J14" i="3"/>
  <c r="J24" i="3"/>
  <c r="J33" i="10"/>
  <c r="C36" i="10"/>
  <c r="E33" i="10"/>
  <c r="AQ18" i="3"/>
  <c r="AL18" i="3"/>
  <c r="K25" i="3"/>
  <c r="F36" i="1"/>
  <c r="H36" i="1" s="1"/>
  <c r="BQ10" i="3"/>
  <c r="BB21" i="3"/>
  <c r="AW21" i="3"/>
  <c r="E14" i="3"/>
  <c r="D30" i="11"/>
  <c r="BR18" i="3"/>
  <c r="K12" i="3"/>
  <c r="F18" i="3"/>
  <c r="G40" i="10"/>
  <c r="G43" i="10"/>
  <c r="AU31" i="3"/>
  <c r="BB15" i="3"/>
  <c r="AW15" i="3"/>
  <c r="BB22" i="3"/>
  <c r="AW22" i="3"/>
  <c r="R18" i="2"/>
  <c r="P22" i="2"/>
  <c r="D17" i="3"/>
  <c r="D12" i="3" s="1"/>
  <c r="BB13" i="3"/>
  <c r="AW13" i="3"/>
  <c r="D38" i="4"/>
  <c r="E34" i="4"/>
  <c r="D41" i="4"/>
  <c r="H34" i="4"/>
  <c r="G38" i="4"/>
  <c r="K38" i="4" s="1"/>
  <c r="G41" i="4"/>
  <c r="H41" i="4" s="1"/>
  <c r="J26" i="11"/>
  <c r="E26" i="11"/>
  <c r="C30" i="11"/>
  <c r="T31" i="4"/>
  <c r="R31" i="4"/>
  <c r="T32" i="1"/>
  <c r="R32" i="1"/>
  <c r="AL25" i="3"/>
  <c r="AQ25" i="3"/>
  <c r="C15" i="3"/>
  <c r="H12" i="3"/>
  <c r="G18" i="3"/>
  <c r="BQ16" i="3"/>
  <c r="C38" i="4"/>
  <c r="P34" i="4"/>
  <c r="J34" i="4"/>
  <c r="C41" i="4"/>
  <c r="AL30" i="3"/>
  <c r="C38" i="3"/>
  <c r="AQ30" i="3"/>
  <c r="AQ31" i="3"/>
  <c r="AL31" i="3"/>
  <c r="BR31" i="3"/>
  <c r="AL26" i="3"/>
  <c r="C26" i="3"/>
  <c r="AQ26" i="3"/>
  <c r="F31" i="3"/>
  <c r="K29" i="3"/>
  <c r="K34" i="4"/>
  <c r="D28" i="3"/>
  <c r="E24" i="3"/>
  <c r="BB20" i="3"/>
  <c r="AW20" i="3"/>
  <c r="BB19" i="3"/>
  <c r="AW19" i="3"/>
  <c r="K33" i="10"/>
  <c r="F36" i="10"/>
  <c r="H33" i="10"/>
  <c r="H22" i="2"/>
  <c r="BR27" i="3"/>
  <c r="J36" i="1"/>
  <c r="P36" i="1"/>
  <c r="E36" i="1"/>
  <c r="H25" i="3"/>
  <c r="F40" i="4"/>
  <c r="H26" i="11"/>
  <c r="F30" i="11"/>
  <c r="K26" i="11"/>
  <c r="AU25" i="3"/>
  <c r="BB17" i="3"/>
  <c r="AW17" i="3"/>
  <c r="AU27" i="3"/>
  <c r="AU26" i="3"/>
  <c r="BB23" i="3"/>
  <c r="AW23" i="3"/>
  <c r="E22" i="2"/>
  <c r="BB12" i="3"/>
  <c r="AW12" i="3"/>
  <c r="D37" i="3"/>
  <c r="K22" i="2"/>
  <c r="AU30" i="3"/>
  <c r="AU18" i="3"/>
  <c r="BB14" i="3"/>
  <c r="AW14" i="3"/>
  <c r="D36" i="10"/>
  <c r="K41" i="3" l="1"/>
  <c r="R22" i="2"/>
  <c r="T22" i="2"/>
  <c r="BM16" i="3"/>
  <c r="BH16" i="3"/>
  <c r="BF27" i="3"/>
  <c r="BF26" i="3"/>
  <c r="BM23" i="3"/>
  <c r="BH23" i="3"/>
  <c r="BQ23" i="3"/>
  <c r="J36" i="10"/>
  <c r="C40" i="10"/>
  <c r="E36" i="10"/>
  <c r="C43" i="10"/>
  <c r="D40" i="10"/>
  <c r="D43" i="10"/>
  <c r="D40" i="4"/>
  <c r="E38" i="4"/>
  <c r="K18" i="3"/>
  <c r="BM21" i="3"/>
  <c r="BH21" i="3"/>
  <c r="BQ21" i="3"/>
  <c r="D25" i="3"/>
  <c r="AW26" i="3"/>
  <c r="C27" i="3"/>
  <c r="BB26" i="3"/>
  <c r="H18" i="3"/>
  <c r="H38" i="4"/>
  <c r="G40" i="4"/>
  <c r="K40" i="4" s="1"/>
  <c r="BM12" i="3"/>
  <c r="BH12" i="3"/>
  <c r="BQ12" i="3"/>
  <c r="BM20" i="3"/>
  <c r="BQ20" i="3"/>
  <c r="BH20" i="3"/>
  <c r="BX16" i="3"/>
  <c r="F32" i="11"/>
  <c r="K30" i="11"/>
  <c r="H30" i="11"/>
  <c r="D18" i="3"/>
  <c r="T36" i="1"/>
  <c r="R36" i="1"/>
  <c r="J30" i="11"/>
  <c r="C32" i="11"/>
  <c r="E30" i="11"/>
  <c r="BF30" i="3"/>
  <c r="BF18" i="3"/>
  <c r="BM14" i="3"/>
  <c r="BQ14" i="3"/>
  <c r="BH14" i="3"/>
  <c r="BM22" i="3"/>
  <c r="BQ22" i="3"/>
  <c r="BH22" i="3"/>
  <c r="R36" i="3"/>
  <c r="P36" i="3"/>
  <c r="BF31" i="3"/>
  <c r="BM15" i="3"/>
  <c r="BH15" i="3"/>
  <c r="BQ15" i="3"/>
  <c r="K36" i="10"/>
  <c r="H36" i="10"/>
  <c r="F40" i="10"/>
  <c r="F43" i="10"/>
  <c r="T34" i="4"/>
  <c r="R34" i="4"/>
  <c r="P41" i="4"/>
  <c r="R41" i="4" s="1"/>
  <c r="J15" i="3"/>
  <c r="E15" i="3"/>
  <c r="E41" i="4"/>
  <c r="BB31" i="3"/>
  <c r="AW31" i="3"/>
  <c r="BM13" i="3"/>
  <c r="BH13" i="3"/>
  <c r="BQ13" i="3"/>
  <c r="J38" i="3"/>
  <c r="N38" i="3"/>
  <c r="R38" i="3" s="1"/>
  <c r="E38" i="3"/>
  <c r="D41" i="3"/>
  <c r="BS16" i="3"/>
  <c r="P38" i="4"/>
  <c r="J38" i="4"/>
  <c r="C40" i="4"/>
  <c r="BF25" i="3"/>
  <c r="BM17" i="3"/>
  <c r="BQ17" i="3"/>
  <c r="BH17" i="3"/>
  <c r="G42" i="10"/>
  <c r="BB18" i="3"/>
  <c r="AW18" i="3"/>
  <c r="C39" i="3"/>
  <c r="AW30" i="3"/>
  <c r="BB30" i="3"/>
  <c r="AW25" i="3"/>
  <c r="BB25" i="3"/>
  <c r="C16" i="3"/>
  <c r="J26" i="3"/>
  <c r="E26" i="3"/>
  <c r="D32" i="11"/>
  <c r="BM19" i="3"/>
  <c r="BQ19" i="3"/>
  <c r="BH19" i="3"/>
  <c r="J27" i="3" l="1"/>
  <c r="E27" i="3"/>
  <c r="T38" i="4"/>
  <c r="R38" i="4"/>
  <c r="D29" i="3"/>
  <c r="J40" i="10"/>
  <c r="C42" i="10"/>
  <c r="C35" i="11" s="1"/>
  <c r="E40" i="10"/>
  <c r="BH25" i="3"/>
  <c r="BM25" i="3"/>
  <c r="C17" i="3"/>
  <c r="C12" i="3" s="1"/>
  <c r="F42" i="10"/>
  <c r="K40" i="10"/>
  <c r="H40" i="10"/>
  <c r="E40" i="4"/>
  <c r="N39" i="3"/>
  <c r="J39" i="3"/>
  <c r="E39" i="3"/>
  <c r="J16" i="3"/>
  <c r="E16" i="3"/>
  <c r="BQ31" i="3"/>
  <c r="BX15" i="3"/>
  <c r="BS15" i="3"/>
  <c r="BM18" i="3"/>
  <c r="BH18" i="3"/>
  <c r="BX13" i="3"/>
  <c r="BS13" i="3"/>
  <c r="BH30" i="3"/>
  <c r="BM30" i="3"/>
  <c r="C40" i="3"/>
  <c r="BX20" i="3"/>
  <c r="BS20" i="3"/>
  <c r="G34" i="11"/>
  <c r="BQ26" i="3"/>
  <c r="BQ27" i="3"/>
  <c r="BX23" i="3"/>
  <c r="BS23" i="3"/>
  <c r="BM31" i="3"/>
  <c r="BH31" i="3"/>
  <c r="BQ30" i="3"/>
  <c r="BX14" i="3"/>
  <c r="BS14" i="3"/>
  <c r="BX19" i="3"/>
  <c r="BS19" i="3"/>
  <c r="C25" i="3"/>
  <c r="E25" i="3" s="1"/>
  <c r="P40" i="4"/>
  <c r="J40" i="4"/>
  <c r="BX22" i="3"/>
  <c r="BS22" i="3"/>
  <c r="F35" i="11"/>
  <c r="F34" i="11"/>
  <c r="K32" i="11"/>
  <c r="H32" i="11"/>
  <c r="G35" i="11"/>
  <c r="D42" i="10"/>
  <c r="D35" i="11" s="1"/>
  <c r="BX17" i="3"/>
  <c r="BQ25" i="3"/>
  <c r="BS17" i="3"/>
  <c r="BX12" i="3"/>
  <c r="BS12" i="3"/>
  <c r="H40" i="4"/>
  <c r="BX21" i="3"/>
  <c r="BS21" i="3"/>
  <c r="BH26" i="3"/>
  <c r="C28" i="3"/>
  <c r="BM26" i="3"/>
  <c r="E32" i="11"/>
  <c r="C34" i="11"/>
  <c r="J32" i="11"/>
  <c r="BQ18" i="3"/>
  <c r="D34" i="11" l="1"/>
  <c r="J40" i="3"/>
  <c r="N40" i="3"/>
  <c r="E40" i="3"/>
  <c r="D31" i="3"/>
  <c r="BX18" i="3"/>
  <c r="BS18" i="3"/>
  <c r="BX31" i="3"/>
  <c r="BS31" i="3"/>
  <c r="J12" i="3"/>
  <c r="C18" i="3"/>
  <c r="E12" i="3"/>
  <c r="R39" i="3"/>
  <c r="P39" i="3"/>
  <c r="BS26" i="3"/>
  <c r="BX26" i="3"/>
  <c r="J28" i="3"/>
  <c r="E28" i="3"/>
  <c r="C37" i="3"/>
  <c r="BS25" i="3"/>
  <c r="BX25" i="3"/>
  <c r="T40" i="4"/>
  <c r="R40" i="4"/>
  <c r="K42" i="10"/>
  <c r="H42" i="10"/>
  <c r="J17" i="3"/>
  <c r="E17" i="3"/>
  <c r="J25" i="3"/>
  <c r="C29" i="3"/>
  <c r="BS30" i="3"/>
  <c r="BX30" i="3"/>
  <c r="E42" i="10"/>
  <c r="J42" i="10"/>
  <c r="N37" i="3" l="1"/>
  <c r="J37" i="3"/>
  <c r="C41" i="3"/>
  <c r="E37" i="3"/>
  <c r="J29" i="3"/>
  <c r="C31" i="3"/>
  <c r="R40" i="3"/>
  <c r="P40" i="3"/>
  <c r="J18" i="3"/>
  <c r="E18" i="3"/>
  <c r="E29" i="3"/>
  <c r="R37" i="3" l="1"/>
  <c r="P37" i="3"/>
  <c r="N41" i="3"/>
  <c r="J41" i="3"/>
  <c r="E41" i="3"/>
  <c r="R41" i="3" l="1"/>
  <c r="P41" i="3"/>
</calcChain>
</file>

<file path=xl/sharedStrings.xml><?xml version="1.0" encoding="utf-8"?>
<sst xmlns="http://schemas.openxmlformats.org/spreadsheetml/2006/main" count="1002" uniqueCount="408">
  <si>
    <t>Mês:</t>
  </si>
  <si>
    <t>→Menu←</t>
  </si>
  <si>
    <t>Trim:</t>
  </si>
  <si>
    <t>vs Trimestre Anterior</t>
  </si>
  <si>
    <t>Português</t>
  </si>
  <si>
    <t xml:space="preserve">Receita Operacional </t>
  </si>
  <si>
    <t xml:space="preserve"> Consolidado </t>
  </si>
  <si>
    <t xml:space="preserve"> (R$ Milhões) </t>
  </si>
  <si>
    <t xml:space="preserve"> Var (%) </t>
  </si>
  <si>
    <t>A.H</t>
  </si>
  <si>
    <t>vs Tri</t>
  </si>
  <si>
    <t>vs Acum</t>
  </si>
  <si>
    <t xml:space="preserve">Receita de Uso da Rede Elétrica </t>
  </si>
  <si>
    <t xml:space="preserve">RBSE </t>
  </si>
  <si>
    <t xml:space="preserve">Contrato 059 </t>
  </si>
  <si>
    <t xml:space="preserve"> CAAE </t>
  </si>
  <si>
    <t xml:space="preserve"> O&amp;M </t>
  </si>
  <si>
    <t xml:space="preserve">Reforços e Melhorias (Contrato 059) </t>
  </si>
  <si>
    <t>PBTE (Contrato 012/2016)</t>
  </si>
  <si>
    <t>Contratos Licitados</t>
  </si>
  <si>
    <t>Parcela de Ajuste (PA) e Antecipações</t>
  </si>
  <si>
    <t>PA RBSE</t>
  </si>
  <si>
    <t>Antecipação</t>
  </si>
  <si>
    <t>Outras PAs</t>
  </si>
  <si>
    <t>Parcela Variável (PV)</t>
  </si>
  <si>
    <t xml:space="preserve">Encargos Regulatórios </t>
  </si>
  <si>
    <t xml:space="preserve">Outras </t>
  </si>
  <si>
    <t xml:space="preserve">Receita Bruta </t>
  </si>
  <si>
    <t xml:space="preserve">Deduções </t>
  </si>
  <si>
    <t>Tributos e Contribuições</t>
  </si>
  <si>
    <t>Encargos Regulatórios</t>
  </si>
  <si>
    <t xml:space="preserve">Receita Líquida </t>
  </si>
  <si>
    <t>Check</t>
  </si>
  <si>
    <t xml:space="preserve">Custos e Despesas de O&amp;M                           </t>
  </si>
  <si>
    <t>Consolidado</t>
  </si>
  <si>
    <t>Não recorrentes</t>
  </si>
  <si>
    <t>(R$ milhões)</t>
  </si>
  <si>
    <t>R$</t>
  </si>
  <si>
    <t>vs</t>
  </si>
  <si>
    <t>Pessoal</t>
  </si>
  <si>
    <t>Materiais</t>
  </si>
  <si>
    <t xml:space="preserve">Serviços </t>
  </si>
  <si>
    <t>Outros</t>
  </si>
  <si>
    <t>PMSO (gerenciável)</t>
  </si>
  <si>
    <t>Entidade de Previdência Privada</t>
  </si>
  <si>
    <t>PMSO</t>
  </si>
  <si>
    <t>Contingências</t>
  </si>
  <si>
    <t>Depreciação</t>
  </si>
  <si>
    <t xml:space="preserve">Demais custos e despesas </t>
  </si>
  <si>
    <t>Total</t>
  </si>
  <si>
    <t>Material</t>
  </si>
  <si>
    <t>MADEIRA</t>
  </si>
  <si>
    <t>Garanhuns</t>
  </si>
  <si>
    <t>IEAI</t>
  </si>
  <si>
    <t>IEPG</t>
  </si>
  <si>
    <t>IVAI</t>
  </si>
  <si>
    <t>EBTIDA</t>
  </si>
  <si>
    <t>Consolidado + Controladas em Conjunto</t>
  </si>
  <si>
    <t>IE MADEIRA</t>
  </si>
  <si>
    <t>IE GARANHUNS</t>
  </si>
  <si>
    <t>IE AIMORÉS</t>
  </si>
  <si>
    <t>IE PARAGUAÇU</t>
  </si>
  <si>
    <t>IE IVAÍ</t>
  </si>
  <si>
    <t>AIE</t>
  </si>
  <si>
    <t>Var (%)</t>
  </si>
  <si>
    <t>Demonstração do Resultado</t>
  </si>
  <si>
    <t>ISA CTEEP Consolidado</t>
  </si>
  <si>
    <t>(R$ mil)</t>
  </si>
  <si>
    <t>Controladas em Conjunto</t>
  </si>
  <si>
    <t>Receita Operacional Bruta</t>
  </si>
  <si>
    <t>IE Madeira (51%)</t>
  </si>
  <si>
    <t>Deduções à receita operacional</t>
  </si>
  <si>
    <t>IE Garanhuns (51%)</t>
  </si>
  <si>
    <t>Receita Operacional Líquida</t>
  </si>
  <si>
    <t>IE Aimorés (50%)</t>
  </si>
  <si>
    <t>Custos e Despesas</t>
  </si>
  <si>
    <t>IE Paraguaçu (50%)</t>
  </si>
  <si>
    <t>IE Ivaí (50%)</t>
  </si>
  <si>
    <t>EBITDA</t>
  </si>
  <si>
    <t>Resultado do Serviço</t>
  </si>
  <si>
    <t>Resultado Financeiro</t>
  </si>
  <si>
    <t>Outras receitas/despesas líquidas</t>
  </si>
  <si>
    <t>Equivalência Patrimonial</t>
  </si>
  <si>
    <t>Lucro antes do IR &amp; CSLL</t>
  </si>
  <si>
    <t>IR &amp; CSLL*</t>
  </si>
  <si>
    <t xml:space="preserve">Lucro líquido </t>
  </si>
  <si>
    <t>AIE (50%)</t>
  </si>
  <si>
    <t>Particip.ISA CTEEP (51%) no EBITDA</t>
  </si>
  <si>
    <t>Particip.ISA CTEEP (50%) no EBITDA</t>
  </si>
  <si>
    <t>IE Aimorés</t>
  </si>
  <si>
    <t xml:space="preserve">Particip.ISA CTEEP (51%) no Lucro líquido </t>
  </si>
  <si>
    <t>Particip.ISA CTEEP (51%) no Lucro Líquido</t>
  </si>
  <si>
    <t>Particip.ISA CTEEP (50%) no Lucro Líquido</t>
  </si>
  <si>
    <t>IE Paraguaçu</t>
  </si>
  <si>
    <t>check EBITDA</t>
  </si>
  <si>
    <t>IE Ivaí</t>
  </si>
  <si>
    <t>check Total</t>
  </si>
  <si>
    <t>Particip.ISA CTEEP (51%) na Receita Líquida</t>
  </si>
  <si>
    <t>Particip.ISA CTEEP (50%) na Receita Líquida</t>
  </si>
  <si>
    <t>Check:</t>
  </si>
  <si>
    <t>Particip.ISA CTEEP (51%) na Custos e Despesas</t>
  </si>
  <si>
    <t>Particip.ISA CTEEP (50%) na Custos e Despesas</t>
  </si>
  <si>
    <t>Receita Líquida</t>
  </si>
  <si>
    <r>
      <t xml:space="preserve">IE Madeira </t>
    </r>
    <r>
      <rPr>
        <b/>
        <sz val="12"/>
        <color rgb="FF000000"/>
        <rFont val="Arial"/>
        <family val="2"/>
      </rPr>
      <t>(51%)</t>
    </r>
  </si>
  <si>
    <r>
      <t>IE Garanhuns</t>
    </r>
    <r>
      <rPr>
        <b/>
        <sz val="12"/>
        <color rgb="FF000000"/>
        <rFont val="Arial"/>
        <family val="2"/>
      </rPr>
      <t xml:space="preserve"> (51%)</t>
    </r>
  </si>
  <si>
    <r>
      <rPr>
        <b/>
        <sz val="12"/>
        <color theme="0" tint="-0.499984740745262"/>
        <rFont val="Arial"/>
        <family val="2"/>
      </rPr>
      <t>AIE (50%)</t>
    </r>
  </si>
  <si>
    <t>Demonstração de Resultado</t>
  </si>
  <si>
    <t xml:space="preserve"> Receita de Uso da Rede Elétrica </t>
  </si>
  <si>
    <t xml:space="preserve"> Outras </t>
  </si>
  <si>
    <t>(-) Deduções à Receita Operacional</t>
  </si>
  <si>
    <t>Tributos e Contribuições sobre a Receita</t>
  </si>
  <si>
    <t>(=) Receita Operacional Líquida</t>
  </si>
  <si>
    <t>(-) Custos e Despesas Operacionais</t>
  </si>
  <si>
    <t>Serviços</t>
  </si>
  <si>
    <t>(=) Resultado do Serviço</t>
  </si>
  <si>
    <t>(+/-) Resultado Financeiro</t>
  </si>
  <si>
    <t>Rendimento de Aplicações Financeiras</t>
  </si>
  <si>
    <t>Resultado da Variação Monetária Líquida</t>
  </si>
  <si>
    <t>Juros Ativo/Passivos</t>
  </si>
  <si>
    <t>Juros/Encargos sobre empréstimos</t>
  </si>
  <si>
    <t>Outras</t>
  </si>
  <si>
    <t>(=) Resultado Operacional</t>
  </si>
  <si>
    <t>(-) Equivalência Patrimonial</t>
  </si>
  <si>
    <t>(-) Outras Receitas/Despesas Operacionais</t>
  </si>
  <si>
    <t>(=) Resultado Anterior aos Tributos</t>
  </si>
  <si>
    <t>(-) IR e CSLL</t>
  </si>
  <si>
    <t>Corrente</t>
  </si>
  <si>
    <t>Diferido</t>
  </si>
  <si>
    <t>(=) Lucro/Prejuízo Consolidado</t>
  </si>
  <si>
    <t>(-) Partic. Acionista não Controlador</t>
  </si>
  <si>
    <t>(=) Lucro/Prejuízo</t>
  </si>
  <si>
    <t>Alíquota Efetiva</t>
  </si>
  <si>
    <t xml:space="preserve">Fluxo de Caixa das Atividades Operacionais </t>
  </si>
  <si>
    <t>Fluxo de Caixa das Atividades Operacionais</t>
  </si>
  <si>
    <t>Fluxo de caixa das atividades operacionais</t>
  </si>
  <si>
    <t>Lucro líquido do período</t>
  </si>
  <si>
    <t>Benefício a empregados – déficit atuarial</t>
  </si>
  <si>
    <t>Investimentos</t>
  </si>
  <si>
    <t>PIS e COFINS diferidos</t>
  </si>
  <si>
    <t>Depreciação e amortização</t>
  </si>
  <si>
    <t>Imposto de renda e contribuição social diferidos</t>
  </si>
  <si>
    <t>Demandas judiciais</t>
  </si>
  <si>
    <t>Custo residual de ativo imobilizado/intangível baixado</t>
  </si>
  <si>
    <t>Beneficio fiscal – ágio incorporado</t>
  </si>
  <si>
    <t>Realização de ativo da concessão na aquisição de controlada</t>
  </si>
  <si>
    <t>Realização da perda em controlada em conjunto</t>
  </si>
  <si>
    <t>Resultado de equivalência patrimonial</t>
  </si>
  <si>
    <t>Receita sobre aplicações financeiras</t>
  </si>
  <si>
    <t>Juros e variações cambiais sobre empréstimos, financiamentos e debêntures</t>
  </si>
  <si>
    <t>Juros e variações monetárias e cambiais sobre ativos e passivos</t>
  </si>
  <si>
    <t>Transações com acionistas não controladores</t>
  </si>
  <si>
    <t>(Aumento) diminuição de ativos</t>
  </si>
  <si>
    <t>Caixa restrito</t>
  </si>
  <si>
    <t>Contas a receber – Concessionárias e Permissionárias</t>
  </si>
  <si>
    <t>Estoques</t>
  </si>
  <si>
    <t>Valores a receber - Secretaria da Fazenda</t>
  </si>
  <si>
    <t>Tributos e contribuições a compensar</t>
  </si>
  <si>
    <t>Despesas pagas antecipadamente</t>
  </si>
  <si>
    <t>Cauções e depósitos vinculados</t>
  </si>
  <si>
    <t>Crédito com controladas</t>
  </si>
  <si>
    <t xml:space="preserve">Outros </t>
  </si>
  <si>
    <t>Aumento (diminuição) de passivos</t>
  </si>
  <si>
    <t>Fornecedores</t>
  </si>
  <si>
    <t>Suppliers</t>
  </si>
  <si>
    <t>Tributos e encargos sociais a recolher</t>
  </si>
  <si>
    <t>Obrigações trabalhistas</t>
  </si>
  <si>
    <t>Labor obligations</t>
  </si>
  <si>
    <t>Pagamentos de impostos</t>
  </si>
  <si>
    <t>Encargos regulatórios a recolher</t>
  </si>
  <si>
    <t>Provisões</t>
  </si>
  <si>
    <t>Valores a pagar Vivest</t>
  </si>
  <si>
    <t>Reserva Global de Reversão</t>
  </si>
  <si>
    <t>Obrigações vinculadas à concessão do serviço</t>
  </si>
  <si>
    <t>Benefício pós emprego - passivo atuarial</t>
  </si>
  <si>
    <t>Caixa líquido gerado nas atividades operacionais</t>
  </si>
  <si>
    <t>Caixa gerado (utilizado) nas atividades de investimentos</t>
  </si>
  <si>
    <t>Aplicações financeiras</t>
  </si>
  <si>
    <t>Regates de Aplicações financeiras</t>
  </si>
  <si>
    <t>Imobilizado</t>
  </si>
  <si>
    <t>Dividendos recebidos</t>
  </si>
  <si>
    <t>Caixa utilizado nas atividades de financiamentos</t>
  </si>
  <si>
    <t>Adições Empréstimos e Debêntures</t>
  </si>
  <si>
    <t>Pagamentos Empréstimos e Debêntures (principal)</t>
  </si>
  <si>
    <t>Pagamentos Empréstimos e Debêntures (juros)</t>
  </si>
  <si>
    <t>Pagamentos Arrendamento Mercantil (principal e juros)</t>
  </si>
  <si>
    <t>Pagamentos Arrendamento Mercantil (juros)</t>
  </si>
  <si>
    <t>Instrumentos financeiros derivativos</t>
  </si>
  <si>
    <t>Integralização de capital</t>
  </si>
  <si>
    <t>Dividendos e juros sobre capital próprios pagos</t>
  </si>
  <si>
    <t>Aumento (redução) líquido em caixa e equivalentes de caixa</t>
  </si>
  <si>
    <t>Caixa e equivalentes de caixa no início do exercício</t>
  </si>
  <si>
    <t>Caixa e equivalentes de caixa no final do exercício</t>
  </si>
  <si>
    <t>Variação em caixa e equivalentes de caixa</t>
  </si>
  <si>
    <t>BALANÇO REGULATÓRIO</t>
  </si>
  <si>
    <t>Ativo</t>
  </si>
  <si>
    <t>CIRCULANTE</t>
  </si>
  <si>
    <t>Caixa e equivalentes de caixa</t>
  </si>
  <si>
    <t>Contas a Receber - Concessionárias e Permissionárias</t>
  </si>
  <si>
    <t xml:space="preserve">Estoques </t>
  </si>
  <si>
    <t>Serviços em Curso</t>
  </si>
  <si>
    <t xml:space="preserve">Instrumentos financeiros derivativos                                </t>
  </si>
  <si>
    <t>Créditos com partes relacionadas</t>
  </si>
  <si>
    <t>NÃO CIRCULANTE</t>
  </si>
  <si>
    <t xml:space="preserve"> Realizável a longo prazo</t>
  </si>
  <si>
    <t xml:space="preserve">Caixa restrito </t>
  </si>
  <si>
    <t xml:space="preserve">Contas a receber - Concessionárias e Permissionárias </t>
  </si>
  <si>
    <t xml:space="preserve">Valores a receber - Secretaria da Fazenda </t>
  </si>
  <si>
    <t xml:space="preserve">Imposto de Renda e Contribuição Social Diferidos </t>
  </si>
  <si>
    <t xml:space="preserve">Cauções e depósitos vinculados </t>
  </si>
  <si>
    <t xml:space="preserve">Créditos com controladas </t>
  </si>
  <si>
    <t xml:space="preserve">Instrumentos financeiros derivativos </t>
  </si>
  <si>
    <t>Intangível</t>
  </si>
  <si>
    <t>Total do Ativo</t>
  </si>
  <si>
    <t>Passivo e Patrimônio Líquido</t>
  </si>
  <si>
    <t>Empréstimos e financiamentos</t>
  </si>
  <si>
    <t>Debêntures</t>
  </si>
  <si>
    <t>Debentures</t>
  </si>
  <si>
    <t>Arrendamento</t>
  </si>
  <si>
    <t>Leasing</t>
  </si>
  <si>
    <t>Juros sobre capital próprio e dividendos a pagar</t>
  </si>
  <si>
    <t>Valores a pagar – Funcesp</t>
  </si>
  <si>
    <t>Amounts Payable - Fundação CESP</t>
  </si>
  <si>
    <t xml:space="preserve"> Exigível a longo prazo</t>
  </si>
  <si>
    <t xml:space="preserve">Empréstimos e financiamentos </t>
  </si>
  <si>
    <t xml:space="preserve">Debêntures </t>
  </si>
  <si>
    <t xml:space="preserve">Arrendamento </t>
  </si>
  <si>
    <t xml:space="preserve">Leasing </t>
  </si>
  <si>
    <t xml:space="preserve">Fornecedores </t>
  </si>
  <si>
    <t xml:space="preserve">Suppliers </t>
  </si>
  <si>
    <t xml:space="preserve">Benefício a Empregados - Déficit Atuarial </t>
  </si>
  <si>
    <t xml:space="preserve">PIS e COFINS diferidos </t>
  </si>
  <si>
    <t xml:space="preserve">Imposto de renda e contribuição social diferidos </t>
  </si>
  <si>
    <t xml:space="preserve">Encargos Regulatórios a recolher </t>
  </si>
  <si>
    <t xml:space="preserve">Provisões </t>
  </si>
  <si>
    <t xml:space="preserve">Reserva Global de Reversão - RGR </t>
  </si>
  <si>
    <t xml:space="preserve">Obrigações vinculadas à concessão do serviço </t>
  </si>
  <si>
    <t>PATRIMÔNIO LÍQUIDO</t>
  </si>
  <si>
    <t>Capital social</t>
  </si>
  <si>
    <t>Reservas de capital</t>
  </si>
  <si>
    <t>Capital Reserves</t>
  </si>
  <si>
    <t>Reservas de lucro</t>
  </si>
  <si>
    <t>Reserva de Reavaliação</t>
  </si>
  <si>
    <t>Outros Resultados Abrangentes</t>
  </si>
  <si>
    <t>Participação de não controladores nos 
   fundos de investimentos</t>
  </si>
  <si>
    <t>Total do Passivo e do Patrimônio Líquido</t>
  </si>
  <si>
    <t>Check Ativo</t>
  </si>
  <si>
    <t>Check Passivo</t>
  </si>
  <si>
    <t>Fontes</t>
  </si>
  <si>
    <t>Encargos</t>
  </si>
  <si>
    <t>Vencimentos</t>
  </si>
  <si>
    <t>BNDES</t>
  </si>
  <si>
    <t>TJLP + 1,80% a.a.</t>
  </si>
  <si>
    <t>3,50% a.a.</t>
  </si>
  <si>
    <t>TJLP + 2,62% a.a.</t>
  </si>
  <si>
    <t>TLP + 2,01% a.a.</t>
  </si>
  <si>
    <t>Debêntures - CTEEP</t>
  </si>
  <si>
    <t>5ª Emissão</t>
  </si>
  <si>
    <t>IPCA + 5,04%</t>
  </si>
  <si>
    <t xml:space="preserve">7ª Emissão </t>
  </si>
  <si>
    <t>IPCA + 4,70%</t>
  </si>
  <si>
    <t>8ª Emissão</t>
  </si>
  <si>
    <t>IPCA + 3,50%</t>
  </si>
  <si>
    <t>9ª Emissão</t>
  </si>
  <si>
    <t>CDI + 2,83%</t>
  </si>
  <si>
    <t>IPCA + 5,30%</t>
  </si>
  <si>
    <t>10ª Emissão</t>
  </si>
  <si>
    <t>IPCA + 5,07%</t>
  </si>
  <si>
    <t>11ª Emissão</t>
  </si>
  <si>
    <t>IPCA + 5,77%</t>
  </si>
  <si>
    <t>IPCA + 5,86%</t>
  </si>
  <si>
    <t>12ª Emissão</t>
  </si>
  <si>
    <t>CDI + 1,55%</t>
  </si>
  <si>
    <t>13ª Emissão</t>
  </si>
  <si>
    <t>CDI + 1,50%</t>
  </si>
  <si>
    <t>14ª Emissão</t>
  </si>
  <si>
    <t>IPCA + 6,26%aa</t>
  </si>
  <si>
    <t>IPCA + 6,44%aa</t>
  </si>
  <si>
    <t>Notas Promissórias - CTEEP</t>
  </si>
  <si>
    <t>CDI + 1,25%</t>
  </si>
  <si>
    <t xml:space="preserve"> Arrendamento Mercantil</t>
  </si>
  <si>
    <t>-</t>
  </si>
  <si>
    <t>Total  Dívida Bruta CTEEP</t>
  </si>
  <si>
    <t>IENNE</t>
  </si>
  <si>
    <t>8,5% a.a.</t>
  </si>
  <si>
    <t>Arrendamento Mercantil</t>
  </si>
  <si>
    <t>Total  Dívida Bruta Subsidiária</t>
  </si>
  <si>
    <t>Total Dívida Bruta Consolidado</t>
  </si>
  <si>
    <t>Indexação Dívida:</t>
  </si>
  <si>
    <t>Dívida</t>
  </si>
  <si>
    <t>%</t>
  </si>
  <si>
    <t>Debêntures - IPCA</t>
  </si>
  <si>
    <t>Debêntures - CDI</t>
  </si>
  <si>
    <t>NP e CCB - CDI</t>
  </si>
  <si>
    <t>Empresa</t>
  </si>
  <si>
    <t>Término da Garantia</t>
  </si>
  <si>
    <t>Saldo garantido  pela ISA CTEEP</t>
  </si>
  <si>
    <t xml:space="preserve">Saldo total devedor </t>
  </si>
  <si>
    <t>IE MADEIRA (51% ISA CTEEP)</t>
  </si>
  <si>
    <t xml:space="preserve">ITAÚ </t>
  </si>
  <si>
    <t>IPCA + 5,5% a.a.</t>
  </si>
  <si>
    <t>TJLP + 2,42% a.a.</t>
  </si>
  <si>
    <t>TJLP</t>
  </si>
  <si>
    <t>2,5% a.a.</t>
  </si>
  <si>
    <t>BASA</t>
  </si>
  <si>
    <t xml:space="preserve">Dívida Bruta </t>
  </si>
  <si>
    <t>Disponibilidades</t>
  </si>
  <si>
    <t xml:space="preserve">Dívida Líquida </t>
  </si>
  <si>
    <t>IE GARANHUNS (51% ISA CTEEP)</t>
  </si>
  <si>
    <t>TJLP + 2,05% a.a.</t>
  </si>
  <si>
    <t>IE IVAÍ (50% ISA CTEEP)</t>
  </si>
  <si>
    <t>ITAÚ BBA</t>
  </si>
  <si>
    <t>IPCA + 5,0% a.a.</t>
  </si>
  <si>
    <t>TOTAL Dívida Bruta</t>
  </si>
  <si>
    <t>TOTAL Dívida Líquida</t>
  </si>
  <si>
    <t>Caixa e Equivalentes</t>
  </si>
  <si>
    <t>2028 a 2032</t>
  </si>
  <si>
    <t>2033 a 2037</t>
  </si>
  <si>
    <t>2038 a 2042</t>
  </si>
  <si>
    <t>2043 a 2044</t>
  </si>
  <si>
    <t xml:space="preserve">Receita de infraestrutura </t>
  </si>
  <si>
    <t xml:space="preserve">Receita bruta de Operação e Manutenção </t>
  </si>
  <si>
    <t>Ganho de eficiência na implementação da infraestrutura</t>
  </si>
  <si>
    <t xml:space="preserve">Remuneração dos ativos de concessão </t>
  </si>
  <si>
    <t>Outras Receitas</t>
  </si>
  <si>
    <t>Deduções à Receita Operacional</t>
  </si>
  <si>
    <t>Custos e Despesas Operacionais</t>
  </si>
  <si>
    <t xml:space="preserve">Depreciação </t>
  </si>
  <si>
    <t>Other</t>
  </si>
  <si>
    <t>Receitas – Revisão Tarifaria Periódica (RTP)</t>
  </si>
  <si>
    <t>Resultado Operacional</t>
  </si>
  <si>
    <t>Outras Receitas/Despesas Operacionais</t>
  </si>
  <si>
    <t>Resultado Anterior aos Tributos</t>
  </si>
  <si>
    <t>Imposto de Renda e Contribuição Social sobre o Lucro</t>
  </si>
  <si>
    <t>Lucro/Prejuízo Consolidado</t>
  </si>
  <si>
    <t>Participação do Acionista não Controlador</t>
  </si>
  <si>
    <t xml:space="preserve">Lucro/Prejuízo </t>
  </si>
  <si>
    <t>alíquota efetiva</t>
  </si>
  <si>
    <t xml:space="preserve">Receita de infraestrutura, operação e manutenção, ganho de eficiência na implementação da infraestrutura e outras, líquidas </t>
  </si>
  <si>
    <t>Remuneração dos ativos da concessão, líquida</t>
  </si>
  <si>
    <t>Custos dos Serviços de Implementação da infraestrutura, operação e manutenção e de serviços prestados</t>
  </si>
  <si>
    <t>Lucro Bruto</t>
  </si>
  <si>
    <t>Receitas e Despesas Operacionais</t>
  </si>
  <si>
    <t>Gerais e Administrativas</t>
  </si>
  <si>
    <t>Honorários da administração</t>
  </si>
  <si>
    <t>Outras receitas (despesas) operacionais, líquidas</t>
  </si>
  <si>
    <t>Lucro antes das receitas e despesas financeiras e dos impostos sobre o lucro</t>
  </si>
  <si>
    <t>Receitas financeiras</t>
  </si>
  <si>
    <t>Despesas financeiras</t>
  </si>
  <si>
    <t>Lucro antes do imposto de renda e da contribuição social</t>
  </si>
  <si>
    <t>Acionistas controladores</t>
  </si>
  <si>
    <t>Aplicações Financeiras</t>
  </si>
  <si>
    <t>Ativo de concessão</t>
  </si>
  <si>
    <t>Realizável a longo prazo</t>
  </si>
  <si>
    <t xml:space="preserve">Ativo de concessão </t>
  </si>
  <si>
    <t xml:space="preserve">Passivo e Patrimônio Líquido  </t>
  </si>
  <si>
    <t>Loans and financing</t>
  </si>
  <si>
    <t>Taxes and Social Charges Payable</t>
  </si>
  <si>
    <t>Regulatory Charges Payable</t>
  </si>
  <si>
    <t>Interest on Shareholders' Equity/Dividends payable</t>
  </si>
  <si>
    <t xml:space="preserve">Loans and financing </t>
  </si>
  <si>
    <t xml:space="preserve">Debentures </t>
  </si>
  <si>
    <t xml:space="preserve">Deferred PIS and COFINS </t>
  </si>
  <si>
    <t xml:space="preserve">Deferred Income Tax and Social Contribution </t>
  </si>
  <si>
    <t xml:space="preserve">Encargos regulatórios a recolher </t>
  </si>
  <si>
    <t xml:space="preserve">Regulatory Charges Payable </t>
  </si>
  <si>
    <t xml:space="preserve">Provision for Contingencies </t>
  </si>
  <si>
    <t xml:space="preserve">Benefício a empregados – déficit atuarial </t>
  </si>
  <si>
    <t xml:space="preserve">Benefit to employess - Actuarial Deficit </t>
  </si>
  <si>
    <t>Shareholders' Equity</t>
  </si>
  <si>
    <t>Profits Reserve</t>
  </si>
  <si>
    <t>Dividendos adicionais propostos</t>
  </si>
  <si>
    <t>Other comprehensive results</t>
  </si>
  <si>
    <t>Non-controlling shareholders' share of investment funds</t>
  </si>
  <si>
    <t>Adiantamento a Fornecedores</t>
  </si>
  <si>
    <t xml:space="preserve">Créditos com partes relacionadas </t>
  </si>
  <si>
    <t xml:space="preserve">Derivative instruments   </t>
  </si>
  <si>
    <t xml:space="preserve">Tributos e encargos sociais a recolher </t>
  </si>
  <si>
    <t>Encargos Regulatórios a recolher</t>
  </si>
  <si>
    <t>Valores a pagar – Vivest</t>
  </si>
  <si>
    <t xml:space="preserve">Provisão para Contingências </t>
  </si>
  <si>
    <t xml:space="preserve">PIS e COFINS Diferidos </t>
  </si>
  <si>
    <t xml:space="preserve">Other  </t>
  </si>
  <si>
    <t>Capital Social</t>
  </si>
  <si>
    <t>Reservas de Capital</t>
  </si>
  <si>
    <t>Reservas de Lucro</t>
  </si>
  <si>
    <t>VPA IFRS:</t>
  </si>
  <si>
    <t>Depreciações e amortizações</t>
  </si>
  <si>
    <t>IR e CS diferidos</t>
  </si>
  <si>
    <t>Provisão para Demandas Judiciais</t>
  </si>
  <si>
    <t>Valor residual de ativo permanente baixado</t>
  </si>
  <si>
    <t>Benefício Fiscal - Ágio Incorporado</t>
  </si>
  <si>
    <t>Juros e variações cambiais sobre ativos e passivos</t>
  </si>
  <si>
    <t>Reversão da perda em controlada em conjunto</t>
  </si>
  <si>
    <t>Contas a receber - Ativo de Concessão</t>
  </si>
  <si>
    <t>Terreno SJC Atualização</t>
  </si>
  <si>
    <t>Realização de ativo de Concessão na aquisição de Controlada</t>
  </si>
  <si>
    <t>Resultado da alienação de bens e direitos</t>
  </si>
  <si>
    <t xml:space="preserve">Contas a receber - Ativo de concessão </t>
  </si>
  <si>
    <t>Pagamentos IR/CSLL</t>
  </si>
  <si>
    <t>Empréstimos e financiamentos a pagar</t>
  </si>
  <si>
    <t xml:space="preserve">Instrumento Financeiro </t>
  </si>
  <si>
    <t>Aquisição de Imobilizado</t>
  </si>
  <si>
    <t xml:space="preserve">Intangível </t>
  </si>
  <si>
    <t>4T23</t>
  </si>
  <si>
    <t>4T22</t>
  </si>
  <si>
    <t>2023</t>
  </si>
  <si>
    <t>2022</t>
  </si>
  <si>
    <t>3T23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</si>
</sst>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[$-416]mmm\-yy;@"/>
    <numFmt numFmtId="165" formatCode="_-* #,##0.0_-;\-* #,##0.0_-;_-* &quot;-&quot;??_-;_-@_-"/>
    <numFmt numFmtId="166" formatCode="#,##0.0_ ;\-#,##0.0\ "/>
    <numFmt numFmtId="167" formatCode="_-* #,##0_-;\-* #,##0_-;_-* &quot;-&quot;??_-;_-@_-"/>
    <numFmt numFmtId="168" formatCode="0.0%"/>
    <numFmt numFmtId="169" formatCode="0.0"/>
    <numFmt numFmtId="170" formatCode="#,##0.0;\-#,##0.0"/>
    <numFmt numFmtId="171" formatCode="#,##0.0"/>
    <numFmt numFmtId="172" formatCode="#,##0_ ;\-#,##0\ "/>
    <numFmt numFmtId="173" formatCode="#,##0.0;\(#,##0.0\)"/>
    <numFmt numFmtId="174" formatCode="dd\/mm\/yyyy"/>
    <numFmt numFmtId="175" formatCode="#,##0.000;\(#,##0.000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rgb="FFFFFFFF"/>
      <name val="Arial"/>
      <family val="2"/>
    </font>
    <font>
      <sz val="11"/>
      <color theme="0"/>
      <name val="Arial"/>
      <family val="2"/>
    </font>
    <font>
      <b/>
      <sz val="12"/>
      <color theme="2" tint="-0.499984740745262"/>
      <name val="Arial"/>
      <family val="2"/>
    </font>
    <font>
      <i/>
      <sz val="12"/>
      <color theme="2" tint="-0.499984740745262"/>
      <name val="Arial"/>
      <family val="2"/>
    </font>
    <font>
      <sz val="12"/>
      <color theme="2" tint="-0.499984740745262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 tint="-0.14999847407452621"/>
      <name val="Arial"/>
      <family val="2"/>
    </font>
    <font>
      <sz val="12"/>
      <color theme="0" tint="-0.499984740745262"/>
      <name val="Arial"/>
      <family val="2"/>
    </font>
    <font>
      <b/>
      <u/>
      <sz val="12"/>
      <color rgb="FFFFFFFF"/>
      <name val="Arial"/>
      <family val="2"/>
    </font>
    <font>
      <b/>
      <sz val="12"/>
      <color theme="1"/>
      <name val="Arial"/>
      <family val="2"/>
    </font>
    <font>
      <b/>
      <sz val="12"/>
      <color theme="0" tint="-0.49998474074526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11"/>
      <color theme="0"/>
      <name val="Arial"/>
      <family val="2"/>
    </font>
    <font>
      <b/>
      <u/>
      <sz val="11"/>
      <color rgb="FFFFFFFF"/>
      <name val="Arial"/>
      <family val="2"/>
    </font>
    <font>
      <b/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 tint="0.249977111117893"/>
      <name val="Arial"/>
      <family val="2"/>
    </font>
    <font>
      <i/>
      <sz val="12"/>
      <color theme="1" tint="0.249977111117893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sz val="11"/>
      <color rgb="FF616365"/>
      <name val="Arial"/>
      <family val="2"/>
    </font>
    <font>
      <sz val="11"/>
      <name val="Arial"/>
      <family val="2"/>
    </font>
    <font>
      <b/>
      <sz val="12"/>
      <color theme="1" tint="4.9989318521683403E-2"/>
      <name val="Arial"/>
      <family val="2"/>
    </font>
    <font>
      <b/>
      <sz val="11"/>
      <name val="Arial"/>
      <family val="2"/>
    </font>
    <font>
      <sz val="12"/>
      <color theme="2" tint="-0.749992370372631"/>
      <name val="Arial"/>
      <family val="2"/>
    </font>
    <font>
      <sz val="11"/>
      <color rgb="FFFF0000"/>
      <name val="Arial"/>
      <family val="2"/>
    </font>
    <font>
      <b/>
      <sz val="11"/>
      <color rgb="FFFFFFFF"/>
      <name val="Arial"/>
      <family val="2"/>
    </font>
    <font>
      <sz val="10"/>
      <color rgb="FF616365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FF"/>
        <bgColor indexed="3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3C69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theme="0"/>
      </top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2499465926084170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 tint="-0.14993743705557422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 tint="-0.149906918546098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 tint="-0.14990691854609822"/>
      </bottom>
      <diagonal/>
    </border>
    <border>
      <left/>
      <right style="medium">
        <color theme="0"/>
      </right>
      <top style="medium">
        <color theme="0"/>
      </top>
      <bottom style="medium">
        <color theme="0" tint="-0.14990691854609822"/>
      </bottom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medium">
        <color theme="0" tint="-0.14990691854609822"/>
      </top>
      <bottom style="thin">
        <color theme="0" tint="-0.14987640003662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5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/>
  </cellStyleXfs>
  <cellXfs count="4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4" applyFont="1" applyBorder="1" applyAlignment="1">
      <alignment horizontal="right"/>
    </xf>
    <xf numFmtId="0" fontId="6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center"/>
    </xf>
    <xf numFmtId="164" fontId="7" fillId="2" borderId="2" xfId="4" applyNumberFormat="1" applyFont="1" applyFill="1" applyBorder="1" applyAlignment="1">
      <alignment horizontal="center"/>
    </xf>
    <xf numFmtId="164" fontId="7" fillId="2" borderId="3" xfId="4" applyNumberFormat="1" applyFont="1" applyFill="1" applyBorder="1" applyAlignment="1">
      <alignment horizontal="center"/>
    </xf>
    <xf numFmtId="0" fontId="8" fillId="0" borderId="0" xfId="0" applyFont="1"/>
    <xf numFmtId="0" fontId="6" fillId="0" borderId="4" xfId="4" applyFont="1" applyBorder="1" applyAlignment="1">
      <alignment horizontal="right"/>
    </xf>
    <xf numFmtId="0" fontId="7" fillId="2" borderId="0" xfId="4" applyFont="1" applyFill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0" fontId="7" fillId="3" borderId="0" xfId="4" applyFont="1" applyFill="1" applyAlignment="1">
      <alignment horizontal="center"/>
    </xf>
    <xf numFmtId="0" fontId="7" fillId="2" borderId="5" xfId="4" applyFont="1" applyFill="1" applyBorder="1" applyAlignment="1">
      <alignment horizontal="center"/>
    </xf>
    <xf numFmtId="1" fontId="7" fillId="3" borderId="0" xfId="1" applyNumberFormat="1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6" fillId="0" borderId="6" xfId="4" applyFont="1" applyBorder="1" applyAlignment="1">
      <alignment horizontal="right"/>
    </xf>
    <xf numFmtId="0" fontId="6" fillId="2" borderId="7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7" fillId="2" borderId="8" xfId="4" applyFont="1" applyFill="1" applyBorder="1" applyAlignment="1">
      <alignment horizontal="center"/>
    </xf>
    <xf numFmtId="10" fontId="3" fillId="0" borderId="0" xfId="2" applyNumberFormat="1" applyFont="1" applyFill="1"/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10" fontId="3" fillId="0" borderId="10" xfId="2" applyNumberFormat="1" applyFont="1" applyBorder="1"/>
    <xf numFmtId="0" fontId="10" fillId="0" borderId="10" xfId="0" applyFont="1" applyBorder="1" applyAlignment="1">
      <alignment horizontal="center" vertical="center"/>
    </xf>
    <xf numFmtId="165" fontId="3" fillId="0" borderId="11" xfId="0" applyNumberFormat="1" applyFont="1" applyBorder="1"/>
    <xf numFmtId="1" fontId="7" fillId="5" borderId="12" xfId="5" applyNumberFormat="1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6" fontId="3" fillId="0" borderId="0" xfId="0" applyNumberFormat="1" applyFont="1"/>
    <xf numFmtId="0" fontId="11" fillId="5" borderId="0" xfId="0" applyFont="1" applyFill="1" applyAlignment="1">
      <alignment horizontal="left" vertical="center" indent="3"/>
    </xf>
    <xf numFmtId="0" fontId="11" fillId="5" borderId="0" xfId="0" applyFont="1" applyFill="1" applyAlignment="1">
      <alignment horizontal="center" vertical="center"/>
    </xf>
    <xf numFmtId="1" fontId="12" fillId="5" borderId="14" xfId="5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/>
    </xf>
    <xf numFmtId="167" fontId="13" fillId="4" borderId="16" xfId="6" applyNumberFormat="1" applyFont="1" applyFill="1" applyBorder="1"/>
    <xf numFmtId="166" fontId="13" fillId="4" borderId="17" xfId="1" applyNumberFormat="1" applyFont="1" applyFill="1" applyBorder="1" applyAlignment="1">
      <alignment horizontal="center"/>
    </xf>
    <xf numFmtId="166" fontId="13" fillId="4" borderId="16" xfId="1" applyNumberFormat="1" applyFont="1" applyFill="1" applyBorder="1" applyAlignment="1">
      <alignment horizontal="center"/>
    </xf>
    <xf numFmtId="168" fontId="13" fillId="4" borderId="16" xfId="2" applyNumberFormat="1" applyFont="1" applyFill="1" applyBorder="1" applyAlignment="1">
      <alignment horizontal="center" vertical="center"/>
    </xf>
    <xf numFmtId="167" fontId="13" fillId="0" borderId="18" xfId="6" applyNumberFormat="1" applyFont="1" applyFill="1" applyBorder="1" applyAlignment="1">
      <alignment horizontal="left" indent="2"/>
    </xf>
    <xf numFmtId="166" fontId="13" fillId="0" borderId="18" xfId="1" applyNumberFormat="1" applyFont="1" applyFill="1" applyBorder="1" applyAlignment="1">
      <alignment horizontal="center" vertical="center"/>
    </xf>
    <xf numFmtId="168" fontId="13" fillId="0" borderId="18" xfId="2" applyNumberFormat="1" applyFont="1" applyFill="1" applyBorder="1" applyAlignment="1">
      <alignment horizontal="center" vertical="center"/>
    </xf>
    <xf numFmtId="167" fontId="13" fillId="0" borderId="19" xfId="6" applyNumberFormat="1" applyFont="1" applyFill="1" applyBorder="1" applyAlignment="1">
      <alignment horizontal="left" indent="2"/>
    </xf>
    <xf numFmtId="166" fontId="13" fillId="0" borderId="19" xfId="1" applyNumberFormat="1" applyFont="1" applyFill="1" applyBorder="1" applyAlignment="1">
      <alignment horizontal="center" vertical="center"/>
    </xf>
    <xf numFmtId="168" fontId="13" fillId="0" borderId="19" xfId="2" applyNumberFormat="1" applyFont="1" applyFill="1" applyBorder="1" applyAlignment="1">
      <alignment horizontal="center" vertical="center"/>
    </xf>
    <xf numFmtId="0" fontId="3" fillId="6" borderId="0" xfId="0" applyFont="1" applyFill="1"/>
    <xf numFmtId="0" fontId="14" fillId="0" borderId="0" xfId="0" applyFont="1" applyAlignment="1">
      <alignment horizontal="left" vertical="center" indent="3"/>
    </xf>
    <xf numFmtId="166" fontId="15" fillId="0" borderId="0" xfId="1" applyNumberFormat="1" applyFont="1" applyFill="1" applyBorder="1" applyAlignment="1">
      <alignment horizontal="center" vertical="center"/>
    </xf>
    <xf numFmtId="166" fontId="15" fillId="0" borderId="0" xfId="1" applyNumberFormat="1" applyFont="1" applyFill="1" applyAlignment="1">
      <alignment horizontal="center" vertical="center"/>
    </xf>
    <xf numFmtId="168" fontId="15" fillId="0" borderId="0" xfId="2" applyNumberFormat="1" applyFont="1" applyFill="1" applyBorder="1" applyAlignment="1">
      <alignment horizontal="center" vertical="center"/>
    </xf>
    <xf numFmtId="168" fontId="15" fillId="0" borderId="0" xfId="2" applyNumberFormat="1" applyFont="1" applyFill="1" applyAlignment="1">
      <alignment horizontal="center" vertical="center"/>
    </xf>
    <xf numFmtId="167" fontId="15" fillId="0" borderId="0" xfId="6" applyNumberFormat="1" applyFont="1" applyFill="1" applyBorder="1" applyAlignment="1">
      <alignment horizontal="left" indent="3"/>
    </xf>
    <xf numFmtId="167" fontId="13" fillId="4" borderId="7" xfId="6" applyNumberFormat="1" applyFont="1" applyFill="1" applyBorder="1"/>
    <xf numFmtId="166" fontId="13" fillId="4" borderId="7" xfId="1" applyNumberFormat="1" applyFont="1" applyFill="1" applyBorder="1" applyAlignment="1">
      <alignment horizontal="center"/>
    </xf>
    <xf numFmtId="168" fontId="13" fillId="4" borderId="7" xfId="2" applyNumberFormat="1" applyFont="1" applyFill="1" applyBorder="1" applyAlignment="1">
      <alignment horizontal="center" vertical="center"/>
    </xf>
    <xf numFmtId="167" fontId="7" fillId="2" borderId="20" xfId="6" applyNumberFormat="1" applyFont="1" applyFill="1" applyBorder="1"/>
    <xf numFmtId="166" fontId="7" fillId="2" borderId="20" xfId="1" applyNumberFormat="1" applyFont="1" applyFill="1" applyBorder="1" applyAlignment="1">
      <alignment horizontal="center"/>
    </xf>
    <xf numFmtId="168" fontId="11" fillId="2" borderId="20" xfId="2" applyNumberFormat="1" applyFont="1" applyFill="1" applyBorder="1" applyAlignment="1">
      <alignment horizontal="center" vertical="center"/>
    </xf>
    <xf numFmtId="167" fontId="13" fillId="4" borderId="0" xfId="6" applyNumberFormat="1" applyFont="1" applyFill="1" applyBorder="1" applyAlignment="1">
      <alignment horizontal="left"/>
    </xf>
    <xf numFmtId="166" fontId="13" fillId="4" borderId="0" xfId="1" applyNumberFormat="1" applyFont="1" applyFill="1" applyBorder="1" applyAlignment="1">
      <alignment horizontal="center" vertical="center"/>
    </xf>
    <xf numFmtId="168" fontId="13" fillId="4" borderId="0" xfId="2" applyNumberFormat="1" applyFont="1" applyFill="1" applyBorder="1" applyAlignment="1">
      <alignment horizontal="center" vertical="center"/>
    </xf>
    <xf numFmtId="167" fontId="7" fillId="2" borderId="21" xfId="6" applyNumberFormat="1" applyFont="1" applyFill="1" applyBorder="1"/>
    <xf numFmtId="166" fontId="11" fillId="2" borderId="21" xfId="1" applyNumberFormat="1" applyFont="1" applyFill="1" applyBorder="1" applyAlignment="1">
      <alignment horizontal="center" vertical="center"/>
    </xf>
    <xf numFmtId="168" fontId="11" fillId="2" borderId="21" xfId="2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1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6" fontId="13" fillId="4" borderId="18" xfId="1" applyNumberFormat="1" applyFont="1" applyFill="1" applyBorder="1" applyAlignment="1">
      <alignment horizontal="center" vertical="center"/>
    </xf>
    <xf numFmtId="10" fontId="1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23" xfId="0" applyFont="1" applyBorder="1"/>
    <xf numFmtId="1" fontId="12" fillId="5" borderId="24" xfId="5" applyNumberFormat="1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26" xfId="0" applyFont="1" applyBorder="1" applyAlignment="1">
      <alignment horizontal="left" vertical="center" wrapText="1" indent="1" readingOrder="1"/>
    </xf>
    <xf numFmtId="170" fontId="15" fillId="0" borderId="26" xfId="1" applyNumberFormat="1" applyFont="1" applyFill="1" applyBorder="1" applyAlignment="1">
      <alignment horizontal="center" vertical="center"/>
    </xf>
    <xf numFmtId="170" fontId="15" fillId="6" borderId="26" xfId="1" applyNumberFormat="1" applyFont="1" applyFill="1" applyBorder="1" applyAlignment="1">
      <alignment horizontal="center" vertical="center"/>
    </xf>
    <xf numFmtId="168" fontId="15" fillId="0" borderId="26" xfId="0" applyNumberFormat="1" applyFont="1" applyBorder="1" applyAlignment="1">
      <alignment horizontal="center" vertical="center" wrapText="1" readingOrder="1"/>
    </xf>
    <xf numFmtId="171" fontId="3" fillId="0" borderId="0" xfId="0" applyNumberFormat="1" applyFont="1"/>
    <xf numFmtId="9" fontId="3" fillId="0" borderId="0" xfId="2" applyFont="1"/>
    <xf numFmtId="0" fontId="15" fillId="0" borderId="26" xfId="0" applyFont="1" applyBorder="1" applyAlignment="1">
      <alignment horizontal="left" vertical="center" wrapText="1" indent="1" readingOrder="1"/>
    </xf>
    <xf numFmtId="0" fontId="15" fillId="0" borderId="27" xfId="0" applyFont="1" applyBorder="1" applyAlignment="1">
      <alignment horizontal="left" vertical="center" wrapText="1" indent="1" readingOrder="1"/>
    </xf>
    <xf numFmtId="170" fontId="15" fillId="0" borderId="27" xfId="1" applyNumberFormat="1" applyFont="1" applyFill="1" applyBorder="1" applyAlignment="1">
      <alignment horizontal="center" vertical="center"/>
    </xf>
    <xf numFmtId="170" fontId="15" fillId="6" borderId="27" xfId="1" applyNumberFormat="1" applyFont="1" applyFill="1" applyBorder="1" applyAlignment="1">
      <alignment horizontal="center" vertical="center"/>
    </xf>
    <xf numFmtId="168" fontId="15" fillId="0" borderId="27" xfId="0" applyNumberFormat="1" applyFont="1" applyBorder="1" applyAlignment="1">
      <alignment horizontal="center" vertical="center" wrapText="1" readingOrder="1"/>
    </xf>
    <xf numFmtId="167" fontId="7" fillId="2" borderId="28" xfId="6" applyNumberFormat="1" applyFont="1" applyFill="1" applyBorder="1"/>
    <xf numFmtId="166" fontId="7" fillId="2" borderId="28" xfId="1" applyNumberFormat="1" applyFont="1" applyFill="1" applyBorder="1" applyAlignment="1">
      <alignment horizontal="center"/>
    </xf>
    <xf numFmtId="168" fontId="7" fillId="2" borderId="28" xfId="2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 indent="1" readingOrder="1"/>
    </xf>
    <xf numFmtId="170" fontId="15" fillId="0" borderId="29" xfId="1" applyNumberFormat="1" applyFont="1" applyFill="1" applyBorder="1" applyAlignment="1">
      <alignment horizontal="center" vertical="center"/>
    </xf>
    <xf numFmtId="168" fontId="15" fillId="0" borderId="29" xfId="0" applyNumberFormat="1" applyFont="1" applyBorder="1" applyAlignment="1">
      <alignment horizontal="center" vertical="center" wrapText="1" readingOrder="1"/>
    </xf>
    <xf numFmtId="167" fontId="13" fillId="7" borderId="30" xfId="6" applyNumberFormat="1" applyFont="1" applyFill="1" applyBorder="1"/>
    <xf numFmtId="170" fontId="13" fillId="7" borderId="30" xfId="1" applyNumberFormat="1" applyFont="1" applyFill="1" applyBorder="1" applyAlignment="1">
      <alignment horizontal="center" vertical="center"/>
    </xf>
    <xf numFmtId="168" fontId="13" fillId="7" borderId="30" xfId="2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20" fillId="3" borderId="0" xfId="3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" fontId="6" fillId="5" borderId="24" xfId="5" applyNumberFormat="1" applyFont="1" applyFill="1" applyBorder="1" applyAlignment="1">
      <alignment vertical="center" wrapText="1"/>
    </xf>
    <xf numFmtId="167" fontId="13" fillId="4" borderId="32" xfId="6" applyNumberFormat="1" applyFont="1" applyFill="1" applyBorder="1"/>
    <xf numFmtId="170" fontId="13" fillId="4" borderId="32" xfId="1" applyNumberFormat="1" applyFont="1" applyFill="1" applyBorder="1" applyAlignment="1">
      <alignment horizontal="center" vertical="center"/>
    </xf>
    <xf numFmtId="168" fontId="13" fillId="4" borderId="32" xfId="2" applyNumberFormat="1" applyFont="1" applyFill="1" applyBorder="1" applyAlignment="1">
      <alignment horizontal="center" vertical="center"/>
    </xf>
    <xf numFmtId="167" fontId="13" fillId="4" borderId="0" xfId="6" applyNumberFormat="1" applyFont="1" applyFill="1" applyBorder="1"/>
    <xf numFmtId="170" fontId="13" fillId="4" borderId="0" xfId="1" applyNumberFormat="1" applyFont="1" applyFill="1" applyBorder="1" applyAlignment="1">
      <alignment horizontal="center" vertical="center"/>
    </xf>
    <xf numFmtId="167" fontId="13" fillId="4" borderId="2" xfId="6" applyNumberFormat="1" applyFont="1" applyFill="1" applyBorder="1"/>
    <xf numFmtId="37" fontId="13" fillId="4" borderId="2" xfId="1" applyNumberFormat="1" applyFont="1" applyFill="1" applyBorder="1" applyAlignment="1">
      <alignment horizontal="center" vertical="center"/>
    </xf>
    <xf numFmtId="168" fontId="13" fillId="4" borderId="2" xfId="2" applyNumberFormat="1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 applyAlignment="1">
      <alignment horizontal="left" vertical="center" indent="1"/>
    </xf>
    <xf numFmtId="37" fontId="15" fillId="0" borderId="0" xfId="1" applyNumberFormat="1" applyFont="1" applyFill="1" applyBorder="1" applyAlignment="1">
      <alignment horizontal="center" vertical="center"/>
    </xf>
    <xf numFmtId="37" fontId="13" fillId="4" borderId="0" xfId="1" applyNumberFormat="1" applyFont="1" applyFill="1" applyBorder="1" applyAlignment="1">
      <alignment horizontal="center" vertical="center"/>
    </xf>
    <xf numFmtId="167" fontId="13" fillId="0" borderId="0" xfId="6" applyNumberFormat="1" applyFont="1" applyFill="1" applyBorder="1"/>
    <xf numFmtId="37" fontId="13" fillId="0" borderId="0" xfId="1" applyNumberFormat="1" applyFont="1" applyFill="1" applyBorder="1" applyAlignment="1">
      <alignment horizontal="center" vertical="center"/>
    </xf>
    <xf numFmtId="168" fontId="13" fillId="0" borderId="0" xfId="2" applyNumberFormat="1" applyFont="1" applyFill="1" applyBorder="1" applyAlignment="1">
      <alignment horizontal="center" vertical="center"/>
    </xf>
    <xf numFmtId="168" fontId="7" fillId="2" borderId="28" xfId="2" applyNumberFormat="1" applyFont="1" applyFill="1" applyBorder="1" applyAlignment="1">
      <alignment horizontal="center"/>
    </xf>
    <xf numFmtId="0" fontId="22" fillId="4" borderId="27" xfId="0" applyFont="1" applyFill="1" applyBorder="1" applyAlignment="1">
      <alignment vertical="center"/>
    </xf>
    <xf numFmtId="170" fontId="22" fillId="4" borderId="27" xfId="0" applyNumberFormat="1" applyFont="1" applyFill="1" applyBorder="1" applyAlignment="1">
      <alignment horizontal="center" vertical="center"/>
    </xf>
    <xf numFmtId="168" fontId="22" fillId="4" borderId="27" xfId="0" applyNumberFormat="1" applyFont="1" applyFill="1" applyBorder="1" applyAlignment="1">
      <alignment horizontal="center" vertical="center"/>
    </xf>
    <xf numFmtId="167" fontId="7" fillId="2" borderId="7" xfId="6" applyNumberFormat="1" applyFont="1" applyFill="1" applyBorder="1"/>
    <xf numFmtId="172" fontId="7" fillId="2" borderId="7" xfId="1" applyNumberFormat="1" applyFont="1" applyFill="1" applyBorder="1" applyAlignment="1">
      <alignment horizontal="center"/>
    </xf>
    <xf numFmtId="168" fontId="7" fillId="2" borderId="7" xfId="2" applyNumberFormat="1" applyFont="1" applyFill="1" applyBorder="1" applyAlignment="1">
      <alignment horizontal="center"/>
    </xf>
    <xf numFmtId="37" fontId="7" fillId="2" borderId="7" xfId="1" applyNumberFormat="1" applyFont="1" applyFill="1" applyBorder="1" applyAlignment="1">
      <alignment horizontal="center"/>
    </xf>
    <xf numFmtId="0" fontId="22" fillId="4" borderId="0" xfId="0" applyFont="1" applyFill="1" applyAlignment="1">
      <alignment vertical="center"/>
    </xf>
    <xf numFmtId="170" fontId="22" fillId="4" borderId="0" xfId="0" applyNumberFormat="1" applyFont="1" applyFill="1" applyAlignment="1">
      <alignment horizontal="center" vertical="center"/>
    </xf>
    <xf numFmtId="168" fontId="22" fillId="4" borderId="0" xfId="0" applyNumberFormat="1" applyFont="1" applyFill="1" applyAlignment="1">
      <alignment horizontal="center" vertical="center"/>
    </xf>
    <xf numFmtId="0" fontId="23" fillId="8" borderId="0" xfId="8" applyFont="1" applyFill="1"/>
    <xf numFmtId="168" fontId="17" fillId="6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9" fontId="3" fillId="0" borderId="0" xfId="2" applyFont="1" applyAlignment="1">
      <alignment horizontal="center"/>
    </xf>
    <xf numFmtId="167" fontId="7" fillId="2" borderId="17" xfId="6" applyNumberFormat="1" applyFont="1" applyFill="1" applyBorder="1"/>
    <xf numFmtId="172" fontId="7" fillId="2" borderId="17" xfId="1" applyNumberFormat="1" applyFont="1" applyFill="1" applyBorder="1" applyAlignment="1">
      <alignment horizontal="center"/>
    </xf>
    <xf numFmtId="168" fontId="7" fillId="2" borderId="17" xfId="2" applyNumberFormat="1" applyFont="1" applyFill="1" applyBorder="1" applyAlignment="1">
      <alignment horizontal="center"/>
    </xf>
    <xf numFmtId="37" fontId="7" fillId="2" borderId="29" xfId="1" applyNumberFormat="1" applyFont="1" applyFill="1" applyBorder="1"/>
    <xf numFmtId="0" fontId="19" fillId="6" borderId="0" xfId="0" applyFont="1" applyFill="1" applyAlignment="1">
      <alignment horizontal="left" vertical="center" indent="1"/>
    </xf>
    <xf numFmtId="170" fontId="19" fillId="0" borderId="0" xfId="0" applyNumberFormat="1" applyFont="1" applyAlignment="1">
      <alignment horizontal="center" vertical="center"/>
    </xf>
    <xf numFmtId="168" fontId="19" fillId="6" borderId="0" xfId="0" applyNumberFormat="1" applyFont="1" applyFill="1" applyAlignment="1">
      <alignment horizontal="center" vertical="center"/>
    </xf>
    <xf numFmtId="167" fontId="7" fillId="2" borderId="0" xfId="6" applyNumberFormat="1" applyFont="1" applyFill="1" applyBorder="1"/>
    <xf numFmtId="172" fontId="7" fillId="2" borderId="0" xfId="1" applyNumberFormat="1" applyFont="1" applyFill="1" applyBorder="1" applyAlignment="1">
      <alignment horizontal="center"/>
    </xf>
    <xf numFmtId="168" fontId="7" fillId="2" borderId="0" xfId="2" applyNumberFormat="1" applyFont="1" applyFill="1" applyBorder="1" applyAlignment="1">
      <alignment horizontal="center"/>
    </xf>
    <xf numFmtId="37" fontId="7" fillId="2" borderId="27" xfId="1" applyNumberFormat="1" applyFont="1" applyFill="1" applyBorder="1"/>
    <xf numFmtId="0" fontId="6" fillId="3" borderId="0" xfId="0" applyFont="1" applyFill="1" applyAlignment="1">
      <alignment horizontal="right"/>
    </xf>
    <xf numFmtId="165" fontId="6" fillId="3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9" fillId="6" borderId="22" xfId="0" applyFont="1" applyFill="1" applyBorder="1" applyAlignment="1">
      <alignment horizontal="left" vertical="center" indent="1"/>
    </xf>
    <xf numFmtId="170" fontId="19" fillId="0" borderId="22" xfId="0" applyNumberFormat="1" applyFont="1" applyBorder="1" applyAlignment="1">
      <alignment horizontal="center" vertical="center"/>
    </xf>
    <xf numFmtId="168" fontId="19" fillId="6" borderId="22" xfId="0" applyNumberFormat="1" applyFont="1" applyFill="1" applyBorder="1" applyAlignment="1">
      <alignment horizontal="center" vertical="center"/>
    </xf>
    <xf numFmtId="0" fontId="7" fillId="2" borderId="26" xfId="7" applyFont="1" applyFill="1" applyBorder="1" applyAlignment="1">
      <alignment vertical="center"/>
    </xf>
    <xf numFmtId="3" fontId="11" fillId="2" borderId="26" xfId="0" applyNumberFormat="1" applyFont="1" applyFill="1" applyBorder="1" applyAlignment="1">
      <alignment horizontal="center" vertical="center"/>
    </xf>
    <xf numFmtId="168" fontId="11" fillId="2" borderId="2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1" xfId="4" applyFont="1" applyBorder="1" applyAlignment="1">
      <alignment horizontal="right"/>
    </xf>
    <xf numFmtId="0" fontId="12" fillId="2" borderId="2" xfId="4" applyFont="1" applyFill="1" applyBorder="1" applyAlignment="1">
      <alignment horizontal="center"/>
    </xf>
    <xf numFmtId="0" fontId="26" fillId="2" borderId="2" xfId="4" applyFont="1" applyFill="1" applyBorder="1" applyAlignment="1">
      <alignment horizontal="center"/>
    </xf>
    <xf numFmtId="164" fontId="26" fillId="2" borderId="2" xfId="4" applyNumberFormat="1" applyFont="1" applyFill="1" applyBorder="1" applyAlignment="1">
      <alignment horizontal="center"/>
    </xf>
    <xf numFmtId="164" fontId="26" fillId="2" borderId="3" xfId="4" applyNumberFormat="1" applyFont="1" applyFill="1" applyBorder="1" applyAlignment="1">
      <alignment horizontal="center"/>
    </xf>
    <xf numFmtId="0" fontId="12" fillId="0" borderId="4" xfId="4" applyFont="1" applyBorder="1" applyAlignment="1">
      <alignment horizontal="right"/>
    </xf>
    <xf numFmtId="0" fontId="26" fillId="2" borderId="0" xfId="4" applyFont="1" applyFill="1" applyAlignment="1">
      <alignment horizontal="center"/>
    </xf>
    <xf numFmtId="164" fontId="26" fillId="3" borderId="0" xfId="1" applyNumberFormat="1" applyFont="1" applyFill="1" applyBorder="1" applyAlignment="1">
      <alignment horizontal="center"/>
    </xf>
    <xf numFmtId="164" fontId="27" fillId="3" borderId="0" xfId="3" applyNumberFormat="1" applyFont="1" applyFill="1" applyBorder="1" applyAlignment="1">
      <alignment horizontal="center"/>
    </xf>
    <xf numFmtId="0" fontId="26" fillId="2" borderId="5" xfId="4" applyFont="1" applyFill="1" applyBorder="1" applyAlignment="1">
      <alignment horizontal="center"/>
    </xf>
    <xf numFmtId="1" fontId="26" fillId="3" borderId="0" xfId="1" applyNumberFormat="1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2" fillId="0" borderId="6" xfId="4" applyFont="1" applyBorder="1" applyAlignment="1">
      <alignment horizontal="right"/>
    </xf>
    <xf numFmtId="0" fontId="12" fillId="2" borderId="7" xfId="4" applyFont="1" applyFill="1" applyBorder="1" applyAlignment="1">
      <alignment horizontal="center"/>
    </xf>
    <xf numFmtId="0" fontId="26" fillId="2" borderId="7" xfId="4" applyFont="1" applyFill="1" applyBorder="1" applyAlignment="1">
      <alignment horizontal="center"/>
    </xf>
    <xf numFmtId="0" fontId="26" fillId="2" borderId="8" xfId="4" applyFont="1" applyFill="1" applyBorder="1" applyAlignment="1">
      <alignment horizontal="center"/>
    </xf>
    <xf numFmtId="43" fontId="3" fillId="0" borderId="0" xfId="0" applyNumberFormat="1" applyFont="1"/>
    <xf numFmtId="167" fontId="3" fillId="0" borderId="0" xfId="1" applyNumberFormat="1" applyFont="1"/>
    <xf numFmtId="43" fontId="10" fillId="0" borderId="10" xfId="1" applyFont="1" applyBorder="1" applyAlignment="1">
      <alignment vertical="center"/>
    </xf>
    <xf numFmtId="167" fontId="10" fillId="0" borderId="10" xfId="1" applyNumberFormat="1" applyFont="1" applyBorder="1" applyAlignment="1">
      <alignment vertical="center"/>
    </xf>
    <xf numFmtId="168" fontId="3" fillId="0" borderId="0" xfId="2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23" xfId="0" applyFont="1" applyFill="1" applyBorder="1"/>
    <xf numFmtId="0" fontId="3" fillId="8" borderId="0" xfId="0" applyFont="1" applyFill="1"/>
    <xf numFmtId="1" fontId="7" fillId="9" borderId="0" xfId="5" applyNumberFormat="1" applyFont="1" applyFill="1" applyAlignment="1">
      <alignment horizontal="center" vertical="center" wrapText="1"/>
    </xf>
    <xf numFmtId="1" fontId="7" fillId="5" borderId="14" xfId="5" applyNumberFormat="1" applyFont="1" applyFill="1" applyBorder="1" applyAlignment="1">
      <alignment vertical="center" wrapText="1"/>
    </xf>
    <xf numFmtId="0" fontId="13" fillId="4" borderId="28" xfId="7" applyFont="1" applyFill="1" applyBorder="1" applyAlignment="1">
      <alignment vertical="center"/>
    </xf>
    <xf numFmtId="37" fontId="13" fillId="4" borderId="28" xfId="1" applyNumberFormat="1" applyFont="1" applyFill="1" applyBorder="1" applyAlignment="1">
      <alignment horizontal="center" vertical="center"/>
    </xf>
    <xf numFmtId="168" fontId="13" fillId="4" borderId="28" xfId="2" applyNumberFormat="1" applyFont="1" applyFill="1" applyBorder="1" applyAlignment="1">
      <alignment horizontal="center" vertical="center"/>
    </xf>
    <xf numFmtId="168" fontId="28" fillId="8" borderId="0" xfId="2" applyNumberFormat="1" applyFont="1" applyFill="1" applyBorder="1" applyAlignment="1">
      <alignment horizontal="center" vertical="center"/>
    </xf>
    <xf numFmtId="168" fontId="29" fillId="8" borderId="0" xfId="2" applyNumberFormat="1" applyFont="1" applyFill="1" applyBorder="1" applyAlignment="1">
      <alignment horizontal="left" vertical="center"/>
    </xf>
    <xf numFmtId="167" fontId="3" fillId="0" borderId="0" xfId="0" applyNumberFormat="1" applyFont="1"/>
    <xf numFmtId="0" fontId="15" fillId="8" borderId="0" xfId="7" applyFont="1" applyFill="1" applyAlignment="1">
      <alignment horizontal="left" vertical="center" indent="2"/>
    </xf>
    <xf numFmtId="37" fontId="15" fillId="8" borderId="0" xfId="1" applyNumberFormat="1" applyFont="1" applyFill="1" applyBorder="1" applyAlignment="1">
      <alignment horizontal="center" vertical="center"/>
    </xf>
    <xf numFmtId="168" fontId="15" fillId="8" borderId="0" xfId="2" applyNumberFormat="1" applyFont="1" applyFill="1" applyBorder="1" applyAlignment="1">
      <alignment horizontal="center" vertical="center"/>
    </xf>
    <xf numFmtId="168" fontId="3" fillId="8" borderId="0" xfId="2" applyNumberFormat="1" applyFont="1" applyFill="1" applyAlignment="1">
      <alignment horizontal="center"/>
    </xf>
    <xf numFmtId="168" fontId="29" fillId="8" borderId="0" xfId="2" applyNumberFormat="1" applyFont="1" applyFill="1" applyAlignment="1">
      <alignment horizontal="left"/>
    </xf>
    <xf numFmtId="0" fontId="13" fillId="0" borderId="16" xfId="7" applyFont="1" applyBorder="1" applyAlignment="1">
      <alignment vertical="center"/>
    </xf>
    <xf numFmtId="37" fontId="13" fillId="0" borderId="16" xfId="1" applyNumberFormat="1" applyFont="1" applyFill="1" applyBorder="1" applyAlignment="1">
      <alignment horizontal="center" vertical="center"/>
    </xf>
    <xf numFmtId="168" fontId="13" fillId="0" borderId="16" xfId="2" applyNumberFormat="1" applyFont="1" applyFill="1" applyBorder="1" applyAlignment="1">
      <alignment horizontal="center" vertical="center"/>
    </xf>
    <xf numFmtId="0" fontId="13" fillId="0" borderId="22" xfId="7" applyFont="1" applyBorder="1" applyAlignment="1">
      <alignment vertical="center"/>
    </xf>
    <xf numFmtId="37" fontId="13" fillId="0" borderId="22" xfId="1" applyNumberFormat="1" applyFont="1" applyFill="1" applyBorder="1" applyAlignment="1">
      <alignment horizontal="center" vertical="center"/>
    </xf>
    <xf numFmtId="168" fontId="13" fillId="0" borderId="22" xfId="2" applyNumberFormat="1" applyFont="1" applyFill="1" applyBorder="1" applyAlignment="1">
      <alignment horizontal="center" vertical="center"/>
    </xf>
    <xf numFmtId="168" fontId="23" fillId="8" borderId="0" xfId="2" applyNumberFormat="1" applyFont="1" applyFill="1" applyBorder="1" applyAlignment="1">
      <alignment horizontal="center" vertical="center"/>
    </xf>
    <xf numFmtId="0" fontId="13" fillId="8" borderId="22" xfId="7" applyFont="1" applyFill="1" applyBorder="1" applyAlignment="1">
      <alignment vertical="center"/>
    </xf>
    <xf numFmtId="37" fontId="13" fillId="8" borderId="22" xfId="1" applyNumberFormat="1" applyFont="1" applyFill="1" applyBorder="1" applyAlignment="1">
      <alignment horizontal="center" vertical="center"/>
    </xf>
    <xf numFmtId="168" fontId="13" fillId="8" borderId="22" xfId="2" applyNumberFormat="1" applyFont="1" applyFill="1" applyBorder="1" applyAlignment="1">
      <alignment horizontal="center" vertical="center"/>
    </xf>
    <xf numFmtId="168" fontId="23" fillId="8" borderId="0" xfId="2" applyNumberFormat="1" applyFont="1" applyFill="1" applyBorder="1" applyAlignment="1">
      <alignment horizontal="center" vertical="center" wrapText="1"/>
    </xf>
    <xf numFmtId="168" fontId="29" fillId="8" borderId="0" xfId="2" applyNumberFormat="1" applyFont="1" applyFill="1" applyBorder="1" applyAlignment="1">
      <alignment horizontal="left" vertical="center" wrapText="1"/>
    </xf>
    <xf numFmtId="0" fontId="13" fillId="8" borderId="0" xfId="7" applyFont="1" applyFill="1" applyAlignment="1">
      <alignment horizontal="left" vertical="center" indent="1"/>
    </xf>
    <xf numFmtId="37" fontId="13" fillId="8" borderId="0" xfId="1" applyNumberFormat="1" applyFont="1" applyFill="1" applyBorder="1" applyAlignment="1">
      <alignment horizontal="center" vertical="center"/>
    </xf>
    <xf numFmtId="168" fontId="13" fillId="8" borderId="0" xfId="2" applyNumberFormat="1" applyFont="1" applyFill="1" applyBorder="1" applyAlignment="1">
      <alignment horizontal="center" vertical="center"/>
    </xf>
    <xf numFmtId="0" fontId="13" fillId="0" borderId="2" xfId="7" applyFont="1" applyBorder="1" applyAlignment="1">
      <alignment vertical="center" wrapText="1"/>
    </xf>
    <xf numFmtId="37" fontId="13" fillId="0" borderId="2" xfId="1" applyNumberFormat="1" applyFont="1" applyFill="1" applyBorder="1" applyAlignment="1">
      <alignment horizontal="center" vertical="center" wrapText="1"/>
    </xf>
    <xf numFmtId="168" fontId="13" fillId="0" borderId="2" xfId="2" applyNumberFormat="1" applyFont="1" applyFill="1" applyBorder="1" applyAlignment="1">
      <alignment horizontal="center" vertical="center" wrapText="1"/>
    </xf>
    <xf numFmtId="168" fontId="28" fillId="8" borderId="0" xfId="2" applyNumberFormat="1" applyFont="1" applyFill="1" applyBorder="1" applyAlignment="1">
      <alignment horizontal="center" vertical="center" wrapText="1"/>
    </xf>
    <xf numFmtId="0" fontId="15" fillId="8" borderId="0" xfId="7" applyFont="1" applyFill="1" applyAlignment="1">
      <alignment horizontal="left" vertical="center" indent="1"/>
    </xf>
    <xf numFmtId="168" fontId="30" fillId="8" borderId="0" xfId="2" applyNumberFormat="1" applyFont="1" applyFill="1" applyBorder="1" applyAlignment="1">
      <alignment horizontal="center" vertical="center"/>
    </xf>
    <xf numFmtId="0" fontId="13" fillId="4" borderId="7" xfId="7" applyFont="1" applyFill="1" applyBorder="1" applyAlignment="1">
      <alignment vertical="center" wrapText="1"/>
    </xf>
    <xf numFmtId="37" fontId="13" fillId="4" borderId="7" xfId="1" applyNumberFormat="1" applyFont="1" applyFill="1" applyBorder="1" applyAlignment="1">
      <alignment horizontal="center" vertical="center" wrapText="1"/>
    </xf>
    <xf numFmtId="168" fontId="13" fillId="4" borderId="7" xfId="2" applyNumberFormat="1" applyFont="1" applyFill="1" applyBorder="1" applyAlignment="1">
      <alignment horizontal="center" vertical="center" wrapText="1"/>
    </xf>
    <xf numFmtId="0" fontId="13" fillId="0" borderId="0" xfId="7" applyFont="1" applyAlignment="1">
      <alignment vertical="center" wrapText="1"/>
    </xf>
    <xf numFmtId="37" fontId="13" fillId="0" borderId="0" xfId="1" applyNumberFormat="1" applyFont="1" applyFill="1" applyBorder="1" applyAlignment="1">
      <alignment horizontal="center" vertical="center" wrapText="1"/>
    </xf>
    <xf numFmtId="168" fontId="13" fillId="0" borderId="0" xfId="2" applyNumberFormat="1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vertical="center"/>
    </xf>
    <xf numFmtId="37" fontId="7" fillId="2" borderId="7" xfId="1" applyNumberFormat="1" applyFont="1" applyFill="1" applyBorder="1" applyAlignment="1">
      <alignment horizontal="center" vertical="center"/>
    </xf>
    <xf numFmtId="168" fontId="7" fillId="2" borderId="7" xfId="2" applyNumberFormat="1" applyFont="1" applyFill="1" applyBorder="1" applyAlignment="1">
      <alignment horizontal="center" vertical="center"/>
    </xf>
    <xf numFmtId="37" fontId="7" fillId="2" borderId="28" xfId="1" applyNumberFormat="1" applyFont="1" applyFill="1" applyBorder="1" applyAlignment="1">
      <alignment horizontal="center" vertical="center"/>
    </xf>
    <xf numFmtId="10" fontId="7" fillId="8" borderId="0" xfId="2" applyNumberFormat="1" applyFont="1" applyFill="1" applyBorder="1" applyAlignment="1">
      <alignment horizontal="center" vertical="center"/>
    </xf>
    <xf numFmtId="10" fontId="29" fillId="8" borderId="0" xfId="2" applyNumberFormat="1" applyFont="1" applyFill="1" applyBorder="1" applyAlignment="1">
      <alignment horizontal="left" vertical="center"/>
    </xf>
    <xf numFmtId="167" fontId="16" fillId="0" borderId="0" xfId="0" applyNumberFormat="1" applyFont="1"/>
    <xf numFmtId="168" fontId="16" fillId="0" borderId="0" xfId="2" applyNumberFormat="1" applyFont="1" applyAlignment="1">
      <alignment horizontal="center"/>
    </xf>
    <xf numFmtId="169" fontId="16" fillId="0" borderId="0" xfId="2" applyNumberFormat="1" applyFont="1" applyAlignment="1">
      <alignment horizontal="center"/>
    </xf>
    <xf numFmtId="168" fontId="31" fillId="8" borderId="0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1" xfId="0" applyFont="1" applyBorder="1"/>
    <xf numFmtId="0" fontId="29" fillId="8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14" fontId="11" fillId="2" borderId="12" xfId="0" applyNumberFormat="1" applyFont="1" applyFill="1" applyBorder="1" applyAlignment="1">
      <alignment horizontal="center" vertical="center"/>
    </xf>
    <xf numFmtId="37" fontId="13" fillId="7" borderId="30" xfId="1" applyNumberFormat="1" applyFont="1" applyFill="1" applyBorder="1" applyAlignment="1">
      <alignment horizontal="center" vertical="center"/>
    </xf>
    <xf numFmtId="37" fontId="15" fillId="6" borderId="26" xfId="1" applyNumberFormat="1" applyFont="1" applyFill="1" applyBorder="1" applyAlignment="1">
      <alignment horizontal="center" vertical="center"/>
    </xf>
    <xf numFmtId="37" fontId="7" fillId="2" borderId="28" xfId="1" applyNumberFormat="1" applyFont="1" applyFill="1" applyBorder="1" applyAlignment="1">
      <alignment horizontal="center"/>
    </xf>
    <xf numFmtId="172" fontId="7" fillId="2" borderId="28" xfId="1" applyNumberFormat="1" applyFont="1" applyFill="1" applyBorder="1" applyAlignment="1">
      <alignment horizontal="center"/>
    </xf>
    <xf numFmtId="167" fontId="13" fillId="7" borderId="30" xfId="6" applyNumberFormat="1" applyFont="1" applyFill="1" applyBorder="1" applyAlignment="1">
      <alignment wrapText="1"/>
    </xf>
    <xf numFmtId="3" fontId="34" fillId="0" borderId="0" xfId="0" applyNumberFormat="1" applyFont="1" applyAlignment="1">
      <alignment horizontal="center"/>
    </xf>
    <xf numFmtId="0" fontId="36" fillId="3" borderId="0" xfId="0" applyFont="1" applyFill="1"/>
    <xf numFmtId="3" fontId="36" fillId="3" borderId="0" xfId="0" applyNumberFormat="1" applyFont="1" applyFill="1" applyAlignment="1">
      <alignment horizontal="center"/>
    </xf>
    <xf numFmtId="0" fontId="34" fillId="0" borderId="0" xfId="0" applyFont="1" applyAlignment="1">
      <alignment horizontal="left"/>
    </xf>
    <xf numFmtId="1" fontId="35" fillId="5" borderId="0" xfId="5" applyNumberFormat="1" applyFont="1" applyFill="1" applyAlignment="1">
      <alignment horizontal="left" vertical="center" wrapText="1"/>
    </xf>
    <xf numFmtId="1" fontId="35" fillId="5" borderId="0" xfId="5" applyNumberFormat="1" applyFont="1" applyFill="1" applyAlignment="1">
      <alignment horizontal="center" vertical="center" wrapText="1"/>
    </xf>
    <xf numFmtId="1" fontId="35" fillId="0" borderId="0" xfId="5" applyNumberFormat="1" applyFont="1" applyAlignment="1">
      <alignment horizontal="left" vertical="center" wrapText="1"/>
    </xf>
    <xf numFmtId="1" fontId="35" fillId="0" borderId="0" xfId="5" applyNumberFormat="1" applyFont="1" applyAlignment="1">
      <alignment horizontal="center" vertical="center" wrapText="1"/>
    </xf>
    <xf numFmtId="1" fontId="26" fillId="5" borderId="24" xfId="5" applyNumberFormat="1" applyFont="1" applyFill="1" applyBorder="1" applyAlignment="1">
      <alignment vertical="center" wrapText="1"/>
    </xf>
    <xf numFmtId="1" fontId="12" fillId="5" borderId="37" xfId="5" applyNumberFormat="1" applyFont="1" applyFill="1" applyBorder="1" applyAlignment="1">
      <alignment vertical="center" wrapText="1"/>
    </xf>
    <xf numFmtId="14" fontId="11" fillId="2" borderId="38" xfId="0" applyNumberFormat="1" applyFont="1" applyFill="1" applyBorder="1" applyAlignment="1">
      <alignment horizontal="center" vertical="center"/>
    </xf>
    <xf numFmtId="14" fontId="11" fillId="2" borderId="39" xfId="0" applyNumberFormat="1" applyFont="1" applyFill="1" applyBorder="1" applyAlignment="1">
      <alignment horizontal="center" vertical="center"/>
    </xf>
    <xf numFmtId="167" fontId="13" fillId="4" borderId="18" xfId="6" applyNumberFormat="1" applyFont="1" applyFill="1" applyBorder="1" applyAlignment="1">
      <alignment horizontal="left"/>
    </xf>
    <xf numFmtId="37" fontId="13" fillId="4" borderId="18" xfId="1" applyNumberFormat="1" applyFont="1" applyFill="1" applyBorder="1" applyAlignment="1">
      <alignment horizontal="center" vertical="center"/>
    </xf>
    <xf numFmtId="167" fontId="13" fillId="0" borderId="19" xfId="6" applyNumberFormat="1" applyFont="1" applyFill="1" applyBorder="1" applyAlignment="1">
      <alignment horizontal="left" indent="1"/>
    </xf>
    <xf numFmtId="37" fontId="13" fillId="0" borderId="19" xfId="1" applyNumberFormat="1" applyFont="1" applyFill="1" applyBorder="1" applyAlignment="1">
      <alignment horizontal="center" vertical="center"/>
    </xf>
    <xf numFmtId="37" fontId="7" fillId="2" borderId="17" xfId="1" applyNumberFormat="1" applyFont="1" applyFill="1" applyBorder="1" applyAlignment="1">
      <alignment horizontal="center"/>
    </xf>
    <xf numFmtId="37" fontId="7" fillId="2" borderId="0" xfId="1" applyNumberFormat="1" applyFont="1" applyFill="1" applyBorder="1" applyAlignment="1">
      <alignment horizontal="center"/>
    </xf>
    <xf numFmtId="0" fontId="35" fillId="0" borderId="0" xfId="9" applyFont="1" applyAlignment="1">
      <alignment horizontal="left" vertical="center"/>
    </xf>
    <xf numFmtId="3" fontId="37" fillId="0" borderId="0" xfId="0" applyNumberFormat="1" applyFont="1" applyAlignment="1">
      <alignment horizontal="center" vertical="center"/>
    </xf>
    <xf numFmtId="14" fontId="11" fillId="2" borderId="25" xfId="0" applyNumberFormat="1" applyFont="1" applyFill="1" applyBorder="1" applyAlignment="1">
      <alignment horizontal="center" vertical="center"/>
    </xf>
    <xf numFmtId="168" fontId="34" fillId="0" borderId="0" xfId="2" applyNumberFormat="1" applyFont="1"/>
    <xf numFmtId="43" fontId="34" fillId="0" borderId="0" xfId="1" applyFont="1" applyAlignment="1">
      <alignment horizontal="center" vertical="center"/>
    </xf>
    <xf numFmtId="0" fontId="36" fillId="3" borderId="0" xfId="0" applyFont="1" applyFill="1" applyAlignment="1">
      <alignment horizontal="left"/>
    </xf>
    <xf numFmtId="43" fontId="36" fillId="3" borderId="0" xfId="1" applyFont="1" applyFill="1" applyAlignment="1">
      <alignment horizontal="center"/>
    </xf>
    <xf numFmtId="0" fontId="38" fillId="0" borderId="0" xfId="7" applyFont="1" applyAlignment="1">
      <alignment vertical="center"/>
    </xf>
    <xf numFmtId="0" fontId="39" fillId="0" borderId="0" xfId="7" applyFont="1" applyAlignment="1">
      <alignment vertical="center"/>
    </xf>
    <xf numFmtId="0" fontId="38" fillId="0" borderId="0" xfId="7" applyFont="1" applyAlignment="1">
      <alignment horizontal="center" vertical="center"/>
    </xf>
    <xf numFmtId="43" fontId="38" fillId="0" borderId="0" xfId="1" applyFont="1" applyAlignment="1">
      <alignment vertical="center"/>
    </xf>
    <xf numFmtId="0" fontId="38" fillId="8" borderId="0" xfId="7" applyFont="1" applyFill="1" applyAlignment="1">
      <alignment vertical="center"/>
    </xf>
    <xf numFmtId="1" fontId="7" fillId="5" borderId="13" xfId="5" applyNumberFormat="1" applyFont="1" applyFill="1" applyBorder="1" applyAlignment="1">
      <alignment vertical="center" wrapText="1"/>
    </xf>
    <xf numFmtId="1" fontId="7" fillId="5" borderId="13" xfId="5" applyNumberFormat="1" applyFont="1" applyFill="1" applyBorder="1" applyAlignment="1">
      <alignment horizontal="center" vertical="center" wrapText="1"/>
    </xf>
    <xf numFmtId="14" fontId="11" fillId="2" borderId="13" xfId="0" applyNumberFormat="1" applyFont="1" applyFill="1" applyBorder="1" applyAlignment="1">
      <alignment horizontal="center" vertical="center"/>
    </xf>
    <xf numFmtId="174" fontId="26" fillId="8" borderId="0" xfId="7" applyNumberFormat="1" applyFont="1" applyFill="1" applyAlignment="1">
      <alignment horizontal="center" vertical="center" wrapText="1"/>
    </xf>
    <xf numFmtId="43" fontId="26" fillId="8" borderId="0" xfId="1" applyFont="1" applyFill="1" applyAlignment="1">
      <alignment horizontal="center" vertical="center" wrapText="1"/>
    </xf>
    <xf numFmtId="0" fontId="38" fillId="8" borderId="0" xfId="10" applyFont="1" applyFill="1" applyAlignment="1">
      <alignment vertical="center"/>
    </xf>
    <xf numFmtId="167" fontId="40" fillId="4" borderId="40" xfId="6" applyNumberFormat="1" applyFont="1" applyFill="1" applyBorder="1" applyAlignment="1">
      <alignment horizontal="left"/>
    </xf>
    <xf numFmtId="166" fontId="13" fillId="4" borderId="40" xfId="1" applyNumberFormat="1" applyFont="1" applyFill="1" applyBorder="1" applyAlignment="1">
      <alignment horizontal="center" vertical="center"/>
    </xf>
    <xf numFmtId="43" fontId="38" fillId="8" borderId="0" xfId="1" applyFont="1" applyFill="1" applyAlignment="1">
      <alignment vertical="center"/>
    </xf>
    <xf numFmtId="37" fontId="15" fillId="6" borderId="29" xfId="1" applyNumberFormat="1" applyFont="1" applyFill="1" applyBorder="1" applyAlignment="1">
      <alignment horizontal="center" vertical="center"/>
    </xf>
    <xf numFmtId="164" fontId="15" fillId="6" borderId="29" xfId="1" applyNumberFormat="1" applyFont="1" applyFill="1" applyBorder="1" applyAlignment="1">
      <alignment horizontal="center" vertical="center"/>
    </xf>
    <xf numFmtId="170" fontId="15" fillId="6" borderId="29" xfId="1" applyNumberFormat="1" applyFont="1" applyFill="1" applyBorder="1" applyAlignment="1">
      <alignment horizontal="center" vertical="center"/>
    </xf>
    <xf numFmtId="173" fontId="39" fillId="8" borderId="0" xfId="11" applyNumberFormat="1" applyFont="1" applyFill="1" applyBorder="1" applyAlignment="1">
      <alignment horizontal="center" vertical="center"/>
    </xf>
    <xf numFmtId="165" fontId="39" fillId="8" borderId="0" xfId="1" applyNumberFormat="1" applyFont="1" applyFill="1" applyBorder="1" applyAlignment="1">
      <alignment horizontal="center" vertical="center"/>
    </xf>
    <xf numFmtId="164" fontId="15" fillId="6" borderId="26" xfId="1" applyNumberFormat="1" applyFont="1" applyFill="1" applyBorder="1" applyAlignment="1">
      <alignment horizontal="center" vertical="center"/>
    </xf>
    <xf numFmtId="167" fontId="40" fillId="4" borderId="41" xfId="6" applyNumberFormat="1" applyFont="1" applyFill="1" applyBorder="1" applyAlignment="1">
      <alignment horizontal="left"/>
    </xf>
    <xf numFmtId="166" fontId="13" fillId="4" borderId="41" xfId="1" applyNumberFormat="1" applyFont="1" applyFill="1" applyBorder="1" applyAlignment="1">
      <alignment horizontal="center" vertical="center"/>
    </xf>
    <xf numFmtId="164" fontId="13" fillId="4" borderId="41" xfId="1" applyNumberFormat="1" applyFont="1" applyFill="1" applyBorder="1" applyAlignment="1">
      <alignment horizontal="center" vertical="center"/>
    </xf>
    <xf numFmtId="170" fontId="13" fillId="4" borderId="41" xfId="1" applyNumberFormat="1" applyFont="1" applyFill="1" applyBorder="1" applyAlignment="1">
      <alignment horizontal="center" vertical="center"/>
    </xf>
    <xf numFmtId="0" fontId="41" fillId="8" borderId="0" xfId="7" applyFont="1" applyFill="1" applyAlignment="1">
      <alignment horizontal="left" vertical="center" wrapText="1"/>
    </xf>
    <xf numFmtId="41" fontId="38" fillId="8" borderId="0" xfId="7" applyNumberFormat="1" applyFont="1" applyFill="1" applyAlignment="1">
      <alignment vertical="center"/>
    </xf>
    <xf numFmtId="168" fontId="38" fillId="8" borderId="0" xfId="12" applyNumberFormat="1" applyFont="1" applyFill="1" applyBorder="1" applyAlignment="1">
      <alignment horizontal="left" vertical="center"/>
    </xf>
    <xf numFmtId="164" fontId="7" fillId="2" borderId="28" xfId="1" applyNumberFormat="1" applyFont="1" applyFill="1" applyBorder="1" applyAlignment="1">
      <alignment horizontal="center"/>
    </xf>
    <xf numFmtId="170" fontId="7" fillId="2" borderId="28" xfId="1" applyNumberFormat="1" applyFont="1" applyFill="1" applyBorder="1" applyAlignment="1">
      <alignment horizontal="center"/>
    </xf>
    <xf numFmtId="175" fontId="41" fillId="8" borderId="0" xfId="11" applyNumberFormat="1" applyFont="1" applyFill="1" applyBorder="1" applyAlignment="1">
      <alignment horizontal="center" vertical="center"/>
    </xf>
    <xf numFmtId="37" fontId="8" fillId="0" borderId="0" xfId="0" applyNumberFormat="1" applyFont="1"/>
    <xf numFmtId="164" fontId="8" fillId="0" borderId="0" xfId="0" applyNumberFormat="1" applyFont="1"/>
    <xf numFmtId="164" fontId="7" fillId="5" borderId="13" xfId="5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left" vertical="center" wrapText="1" indent="1" readingOrder="1"/>
    </xf>
    <xf numFmtId="37" fontId="42" fillId="8" borderId="0" xfId="7" applyNumberFormat="1" applyFont="1" applyFill="1" applyAlignment="1">
      <alignment horizontal="center" vertical="center"/>
    </xf>
    <xf numFmtId="164" fontId="42" fillId="8" borderId="0" xfId="7" applyNumberFormat="1" applyFont="1" applyFill="1" applyAlignment="1">
      <alignment horizontal="center" vertical="center"/>
    </xf>
    <xf numFmtId="173" fontId="42" fillId="8" borderId="0" xfId="11" applyNumberFormat="1" applyFont="1" applyFill="1" applyBorder="1" applyAlignment="1">
      <alignment horizontal="center" vertical="center"/>
    </xf>
    <xf numFmtId="0" fontId="42" fillId="4" borderId="0" xfId="7" applyFont="1" applyFill="1" applyAlignment="1">
      <alignment horizontal="left" vertical="center"/>
    </xf>
    <xf numFmtId="37" fontId="42" fillId="4" borderId="0" xfId="7" applyNumberFormat="1" applyFont="1" applyFill="1" applyAlignment="1">
      <alignment horizontal="center" vertical="center"/>
    </xf>
    <xf numFmtId="173" fontId="42" fillId="4" borderId="0" xfId="11" applyNumberFormat="1" applyFont="1" applyFill="1" applyBorder="1" applyAlignment="1">
      <alignment horizontal="center" vertical="center"/>
    </xf>
    <xf numFmtId="166" fontId="7" fillId="2" borderId="17" xfId="1" applyNumberFormat="1" applyFont="1" applyFill="1" applyBorder="1" applyAlignment="1">
      <alignment horizontal="center"/>
    </xf>
    <xf numFmtId="166" fontId="7" fillId="2" borderId="7" xfId="1" applyNumberFormat="1" applyFont="1" applyFill="1" applyBorder="1" applyAlignment="1">
      <alignment horizontal="center"/>
    </xf>
    <xf numFmtId="173" fontId="26" fillId="8" borderId="0" xfId="11" applyNumberFormat="1" applyFont="1" applyFill="1" applyBorder="1" applyAlignment="1">
      <alignment horizontal="center" vertical="center"/>
    </xf>
    <xf numFmtId="37" fontId="38" fillId="8" borderId="0" xfId="7" applyNumberFormat="1" applyFont="1" applyFill="1" applyAlignment="1">
      <alignment horizontal="center" vertical="center"/>
    </xf>
    <xf numFmtId="0" fontId="38" fillId="8" borderId="0" xfId="7" applyFont="1" applyFill="1" applyAlignment="1">
      <alignment horizontal="center" vertical="center"/>
    </xf>
    <xf numFmtId="43" fontId="38" fillId="8" borderId="0" xfId="7" applyNumberFormat="1" applyFont="1" applyFill="1" applyAlignment="1">
      <alignment vertical="center"/>
    </xf>
    <xf numFmtId="37" fontId="7" fillId="10" borderId="42" xfId="13" applyFont="1" applyFill="1" applyBorder="1" applyAlignment="1">
      <alignment horizontal="left" vertical="center"/>
    </xf>
    <xf numFmtId="37" fontId="7" fillId="10" borderId="42" xfId="13" applyFont="1" applyFill="1" applyBorder="1" applyAlignment="1">
      <alignment horizontal="center" vertical="center"/>
    </xf>
    <xf numFmtId="37" fontId="28" fillId="4" borderId="42" xfId="13" applyFont="1" applyFill="1" applyBorder="1" applyAlignment="1">
      <alignment horizontal="left" vertical="center"/>
    </xf>
    <xf numFmtId="37" fontId="28" fillId="4" borderId="42" xfId="13" applyFont="1" applyFill="1" applyBorder="1" applyAlignment="1">
      <alignment horizontal="center" vertical="center"/>
    </xf>
    <xf numFmtId="168" fontId="28" fillId="4" borderId="42" xfId="2" applyNumberFormat="1" applyFont="1" applyFill="1" applyBorder="1" applyAlignment="1">
      <alignment horizontal="center" vertical="center"/>
    </xf>
    <xf numFmtId="37" fontId="28" fillId="0" borderId="42" xfId="13" applyFont="1" applyBorder="1" applyAlignment="1">
      <alignment horizontal="left" vertical="center"/>
    </xf>
    <xf numFmtId="37" fontId="28" fillId="0" borderId="42" xfId="13" applyFont="1" applyBorder="1" applyAlignment="1">
      <alignment horizontal="center" vertical="center"/>
    </xf>
    <xf numFmtId="168" fontId="28" fillId="0" borderId="42" xfId="2" applyNumberFormat="1" applyFont="1" applyFill="1" applyBorder="1" applyAlignment="1">
      <alignment horizontal="center" vertical="center"/>
    </xf>
    <xf numFmtId="9" fontId="7" fillId="10" borderId="42" xfId="2" applyFont="1" applyFill="1" applyBorder="1" applyAlignment="1">
      <alignment horizontal="center" vertical="center"/>
    </xf>
    <xf numFmtId="37" fontId="43" fillId="8" borderId="0" xfId="1" applyNumberFormat="1" applyFont="1" applyFill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44" fillId="2" borderId="0" xfId="0" applyFont="1" applyFill="1" applyAlignment="1">
      <alignment horizontal="center" vertical="center" wrapText="1"/>
    </xf>
    <xf numFmtId="14" fontId="44" fillId="2" borderId="0" xfId="0" applyNumberFormat="1" applyFont="1" applyFill="1" applyAlignment="1">
      <alignment horizontal="center" vertical="center" wrapText="1"/>
    </xf>
    <xf numFmtId="170" fontId="13" fillId="7" borderId="43" xfId="1" applyNumberFormat="1" applyFont="1" applyFill="1" applyBorder="1" applyAlignment="1">
      <alignment horizontal="left" vertical="center"/>
    </xf>
    <xf numFmtId="170" fontId="13" fillId="7" borderId="43" xfId="1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readingOrder="1"/>
    </xf>
    <xf numFmtId="14" fontId="15" fillId="6" borderId="29" xfId="1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readingOrder="1"/>
    </xf>
    <xf numFmtId="14" fontId="15" fillId="6" borderId="26" xfId="1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 readingOrder="1"/>
    </xf>
    <xf numFmtId="37" fontId="8" fillId="0" borderId="0" xfId="0" applyNumberFormat="1" applyFont="1" applyAlignment="1">
      <alignment horizontal="center"/>
    </xf>
    <xf numFmtId="0" fontId="13" fillId="4" borderId="26" xfId="0" applyFont="1" applyFill="1" applyBorder="1" applyAlignment="1">
      <alignment horizontal="left" vertical="center" readingOrder="1"/>
    </xf>
    <xf numFmtId="37" fontId="13" fillId="4" borderId="26" xfId="1" applyNumberFormat="1" applyFont="1" applyFill="1" applyBorder="1" applyAlignment="1">
      <alignment horizontal="center" vertical="center"/>
    </xf>
    <xf numFmtId="14" fontId="13" fillId="4" borderId="26" xfId="1" applyNumberFormat="1" applyFont="1" applyFill="1" applyBorder="1" applyAlignment="1">
      <alignment horizontal="center" vertical="center"/>
    </xf>
    <xf numFmtId="170" fontId="13" fillId="4" borderId="26" xfId="1" applyNumberFormat="1" applyFont="1" applyFill="1" applyBorder="1" applyAlignment="1">
      <alignment horizontal="center" vertical="center"/>
    </xf>
    <xf numFmtId="167" fontId="7" fillId="2" borderId="28" xfId="6" applyNumberFormat="1" applyFont="1" applyFill="1" applyBorder="1" applyAlignment="1"/>
    <xf numFmtId="4" fontId="8" fillId="0" borderId="0" xfId="0" applyNumberFormat="1" applyFont="1" applyAlignment="1">
      <alignment horizontal="center" vertical="center"/>
    </xf>
    <xf numFmtId="167" fontId="7" fillId="2" borderId="17" xfId="6" applyNumberFormat="1" applyFont="1" applyFill="1" applyBorder="1" applyAlignment="1"/>
    <xf numFmtId="167" fontId="7" fillId="2" borderId="7" xfId="6" applyNumberFormat="1" applyFont="1" applyFill="1" applyBorder="1" applyAlignment="1"/>
    <xf numFmtId="0" fontId="5" fillId="0" borderId="0" xfId="5"/>
    <xf numFmtId="0" fontId="45" fillId="0" borderId="0" xfId="7" applyFont="1"/>
    <xf numFmtId="0" fontId="36" fillId="10" borderId="0" xfId="14" applyFont="1" applyFill="1" applyAlignment="1">
      <alignment horizontal="center"/>
    </xf>
    <xf numFmtId="0" fontId="36" fillId="12" borderId="0" xfId="14" applyFont="1" applyFill="1" applyAlignment="1">
      <alignment horizontal="center"/>
    </xf>
    <xf numFmtId="0" fontId="36" fillId="0" borderId="0" xfId="14" applyFont="1" applyAlignment="1">
      <alignment horizontal="center"/>
    </xf>
    <xf numFmtId="3" fontId="5" fillId="0" borderId="0" xfId="5" applyNumberFormat="1" applyAlignment="1">
      <alignment horizontal="center"/>
    </xf>
    <xf numFmtId="171" fontId="5" fillId="0" borderId="0" xfId="14" applyNumberFormat="1"/>
    <xf numFmtId="171" fontId="46" fillId="0" borderId="0" xfId="0" applyNumberFormat="1" applyFont="1"/>
    <xf numFmtId="37" fontId="34" fillId="0" borderId="0" xfId="0" applyNumberFormat="1" applyFont="1"/>
    <xf numFmtId="0" fontId="34" fillId="6" borderId="0" xfId="0" applyFont="1" applyFill="1"/>
    <xf numFmtId="0" fontId="13" fillId="4" borderId="28" xfId="14" applyFont="1" applyFill="1" applyBorder="1" applyAlignment="1">
      <alignment vertical="center"/>
    </xf>
    <xf numFmtId="170" fontId="13" fillId="4" borderId="28" xfId="1" applyNumberFormat="1" applyFont="1" applyFill="1" applyBorder="1" applyAlignment="1">
      <alignment horizontal="center" vertical="center"/>
    </xf>
    <xf numFmtId="0" fontId="34" fillId="8" borderId="0" xfId="0" applyFont="1" applyFill="1"/>
    <xf numFmtId="0" fontId="15" fillId="8" borderId="0" xfId="14" applyFont="1" applyFill="1" applyAlignment="1">
      <alignment horizontal="left" vertical="center" indent="2"/>
    </xf>
    <xf numFmtId="170" fontId="15" fillId="8" borderId="0" xfId="1" applyNumberFormat="1" applyFont="1" applyFill="1" applyBorder="1" applyAlignment="1">
      <alignment horizontal="center" vertical="center"/>
    </xf>
    <xf numFmtId="0" fontId="25" fillId="0" borderId="0" xfId="0" applyFont="1"/>
    <xf numFmtId="0" fontId="13" fillId="0" borderId="16" xfId="14" applyFont="1" applyBorder="1" applyAlignment="1">
      <alignment vertical="center"/>
    </xf>
    <xf numFmtId="170" fontId="13" fillId="0" borderId="0" xfId="1" applyNumberFormat="1" applyFont="1" applyFill="1" applyBorder="1" applyAlignment="1">
      <alignment horizontal="center" vertical="center"/>
    </xf>
    <xf numFmtId="170" fontId="13" fillId="0" borderId="16" xfId="1" applyNumberFormat="1" applyFont="1" applyFill="1" applyBorder="1" applyAlignment="1">
      <alignment horizontal="center" vertical="center"/>
    </xf>
    <xf numFmtId="170" fontId="13" fillId="4" borderId="7" xfId="1" applyNumberFormat="1" applyFont="1" applyFill="1" applyBorder="1" applyAlignment="1">
      <alignment horizontal="center" vertical="center"/>
    </xf>
    <xf numFmtId="0" fontId="13" fillId="0" borderId="22" xfId="14" applyFont="1" applyBorder="1" applyAlignment="1">
      <alignment vertical="center"/>
    </xf>
    <xf numFmtId="170" fontId="13" fillId="0" borderId="2" xfId="1" applyNumberFormat="1" applyFont="1" applyFill="1" applyBorder="1" applyAlignment="1">
      <alignment horizontal="center" vertical="center"/>
    </xf>
    <xf numFmtId="170" fontId="13" fillId="0" borderId="22" xfId="1" applyNumberFormat="1" applyFont="1" applyFill="1" applyBorder="1" applyAlignment="1">
      <alignment horizontal="center" vertical="center"/>
    </xf>
    <xf numFmtId="0" fontId="13" fillId="8" borderId="22" xfId="14" applyFont="1" applyFill="1" applyBorder="1" applyAlignment="1">
      <alignment vertical="center"/>
    </xf>
    <xf numFmtId="170" fontId="13" fillId="8" borderId="22" xfId="1" applyNumberFormat="1" applyFont="1" applyFill="1" applyBorder="1" applyAlignment="1">
      <alignment horizontal="center" vertical="center"/>
    </xf>
    <xf numFmtId="168" fontId="15" fillId="6" borderId="26" xfId="2" applyNumberFormat="1" applyFont="1" applyFill="1" applyBorder="1" applyAlignment="1">
      <alignment horizontal="center" vertical="center"/>
    </xf>
    <xf numFmtId="0" fontId="7" fillId="2" borderId="7" xfId="14" applyFont="1" applyFill="1" applyBorder="1" applyAlignment="1">
      <alignment vertical="center"/>
    </xf>
    <xf numFmtId="170" fontId="7" fillId="2" borderId="7" xfId="1" applyNumberFormat="1" applyFont="1" applyFill="1" applyBorder="1" applyAlignment="1">
      <alignment horizontal="center" vertical="center"/>
    </xf>
    <xf numFmtId="37" fontId="34" fillId="6" borderId="0" xfId="0" applyNumberFormat="1" applyFont="1" applyFill="1"/>
    <xf numFmtId="0" fontId="13" fillId="4" borderId="28" xfId="14" applyFont="1" applyFill="1" applyBorder="1" applyAlignment="1">
      <alignment vertical="center" wrapText="1"/>
    </xf>
    <xf numFmtId="37" fontId="3" fillId="0" borderId="0" xfId="0" applyNumberFormat="1" applyFont="1"/>
    <xf numFmtId="37" fontId="3" fillId="6" borderId="0" xfId="0" applyNumberFormat="1" applyFont="1" applyFill="1"/>
    <xf numFmtId="43" fontId="7" fillId="3" borderId="0" xfId="1" applyFont="1" applyFill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4" fillId="13" borderId="7" xfId="0" applyFont="1" applyFill="1" applyBorder="1" applyAlignment="1">
      <alignment vertical="center"/>
    </xf>
    <xf numFmtId="167" fontId="15" fillId="0" borderId="29" xfId="1" applyNumberFormat="1" applyFont="1" applyBorder="1" applyAlignment="1">
      <alignment vertical="center" wrapText="1" readingOrder="1"/>
    </xf>
    <xf numFmtId="167" fontId="15" fillId="0" borderId="26" xfId="1" applyNumberFormat="1" applyFont="1" applyBorder="1" applyAlignment="1">
      <alignment vertical="center" wrapText="1" readingOrder="1"/>
    </xf>
    <xf numFmtId="167" fontId="7" fillId="2" borderId="28" xfId="1" applyNumberFormat="1" applyFont="1" applyFill="1" applyBorder="1" applyAlignment="1">
      <alignment horizontal="center"/>
    </xf>
    <xf numFmtId="167" fontId="13" fillId="4" borderId="28" xfId="14" applyNumberFormat="1" applyFont="1" applyFill="1" applyBorder="1" applyAlignment="1">
      <alignment vertical="center"/>
    </xf>
    <xf numFmtId="167" fontId="7" fillId="2" borderId="17" xfId="1" applyNumberFormat="1" applyFont="1" applyFill="1" applyBorder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167" fontId="7" fillId="2" borderId="7" xfId="1" applyNumberFormat="1" applyFont="1" applyFill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37" fontId="3" fillId="0" borderId="0" xfId="0" applyNumberFormat="1" applyFont="1" applyAlignment="1">
      <alignment horizontal="center" vertical="center"/>
    </xf>
    <xf numFmtId="0" fontId="13" fillId="4" borderId="2" xfId="14" applyFont="1" applyFill="1" applyBorder="1" applyAlignment="1">
      <alignment vertical="center"/>
    </xf>
    <xf numFmtId="167" fontId="13" fillId="4" borderId="2" xfId="14" applyNumberFormat="1" applyFont="1" applyFill="1" applyBorder="1" applyAlignment="1">
      <alignment vertical="center"/>
    </xf>
    <xf numFmtId="0" fontId="13" fillId="4" borderId="7" xfId="14" applyFont="1" applyFill="1" applyBorder="1" applyAlignment="1">
      <alignment horizontal="left" vertical="center" indent="1"/>
    </xf>
    <xf numFmtId="167" fontId="13" fillId="4" borderId="7" xfId="14" applyNumberFormat="1" applyFont="1" applyFill="1" applyBorder="1" applyAlignment="1">
      <alignment horizontal="left" vertical="center" indent="1"/>
    </xf>
    <xf numFmtId="37" fontId="15" fillId="0" borderId="26" xfId="1" applyNumberFormat="1" applyFont="1" applyBorder="1" applyAlignment="1">
      <alignment vertical="center" wrapText="1" readingOrder="1"/>
    </xf>
    <xf numFmtId="172" fontId="15" fillId="0" borderId="26" xfId="1" applyNumberFormat="1" applyFont="1" applyBorder="1" applyAlignment="1">
      <alignment vertical="center" wrapText="1" readingOrder="1"/>
    </xf>
    <xf numFmtId="0" fontId="15" fillId="0" borderId="26" xfId="0" applyFont="1" applyBorder="1" applyAlignment="1">
      <alignment vertical="center" wrapText="1" readingOrder="1"/>
    </xf>
    <xf numFmtId="37" fontId="3" fillId="0" borderId="0" xfId="1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37" fontId="7" fillId="3" borderId="0" xfId="0" applyNumberFormat="1" applyFont="1" applyFill="1" applyAlignment="1">
      <alignment horizontal="center"/>
    </xf>
    <xf numFmtId="37" fontId="3" fillId="0" borderId="0" xfId="1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4" fontId="11" fillId="2" borderId="16" xfId="0" applyNumberFormat="1" applyFont="1" applyFill="1" applyBorder="1" applyAlignment="1">
      <alignment horizontal="center" vertical="center"/>
    </xf>
    <xf numFmtId="172" fontId="7" fillId="2" borderId="28" xfId="1" applyNumberFormat="1" applyFont="1" applyFill="1" applyBorder="1" applyAlignment="1">
      <alignment horizontal="right"/>
    </xf>
    <xf numFmtId="172" fontId="13" fillId="4" borderId="28" xfId="14" applyNumberFormat="1" applyFont="1" applyFill="1" applyBorder="1" applyAlignment="1">
      <alignment vertical="center"/>
    </xf>
    <xf numFmtId="167" fontId="13" fillId="4" borderId="2" xfId="1" applyNumberFormat="1" applyFont="1" applyFill="1" applyBorder="1" applyAlignment="1">
      <alignment vertical="center"/>
    </xf>
    <xf numFmtId="167" fontId="13" fillId="4" borderId="28" xfId="1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37" fontId="34" fillId="0" borderId="0" xfId="0" applyNumberFormat="1" applyFont="1" applyAlignment="1">
      <alignment horizontal="center"/>
    </xf>
    <xf numFmtId="37" fontId="36" fillId="3" borderId="0" xfId="0" applyNumberFormat="1" applyFont="1" applyFill="1" applyAlignment="1">
      <alignment horizontal="center"/>
    </xf>
    <xf numFmtId="0" fontId="34" fillId="0" borderId="0" xfId="0" applyFont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7" fillId="2" borderId="0" xfId="7" applyFont="1" applyFill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" fontId="7" fillId="5" borderId="26" xfId="5" applyNumberFormat="1" applyFont="1" applyFill="1" applyBorder="1" applyAlignment="1">
      <alignment horizontal="center" vertical="center" wrapText="1"/>
    </xf>
    <xf numFmtId="1" fontId="7" fillId="5" borderId="34" xfId="5" applyNumberFormat="1" applyFont="1" applyFill="1" applyBorder="1" applyAlignment="1">
      <alignment horizontal="center" vertical="center" wrapText="1"/>
    </xf>
    <xf numFmtId="1" fontId="7" fillId="5" borderId="15" xfId="5" applyNumberFormat="1" applyFont="1" applyFill="1" applyBorder="1" applyAlignment="1">
      <alignment horizontal="center" vertical="center" wrapText="1"/>
    </xf>
    <xf numFmtId="1" fontId="26" fillId="5" borderId="14" xfId="5" applyNumberFormat="1" applyFont="1" applyFill="1" applyBorder="1" applyAlignment="1">
      <alignment horizontal="center" vertical="center" wrapText="1"/>
    </xf>
    <xf numFmtId="1" fontId="26" fillId="5" borderId="36" xfId="5" applyNumberFormat="1" applyFont="1" applyFill="1" applyBorder="1" applyAlignment="1">
      <alignment horizontal="center" vertical="center" wrapText="1"/>
    </xf>
    <xf numFmtId="1" fontId="26" fillId="5" borderId="22" xfId="5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 wrapText="1"/>
    </xf>
    <xf numFmtId="171" fontId="44" fillId="2" borderId="0" xfId="0" applyNumberFormat="1" applyFont="1" applyFill="1" applyAlignment="1">
      <alignment horizontal="center" vertical="center" wrapText="1"/>
    </xf>
    <xf numFmtId="1" fontId="7" fillId="5" borderId="14" xfId="5" applyNumberFormat="1" applyFont="1" applyFill="1" applyBorder="1" applyAlignment="1">
      <alignment horizontal="center" vertical="center" wrapText="1"/>
    </xf>
    <xf numFmtId="1" fontId="7" fillId="5" borderId="36" xfId="5" applyNumberFormat="1" applyFont="1" applyFill="1" applyBorder="1" applyAlignment="1">
      <alignment horizontal="center" vertical="center" wrapText="1"/>
    </xf>
    <xf numFmtId="1" fontId="7" fillId="5" borderId="22" xfId="5" applyNumberFormat="1" applyFont="1" applyFill="1" applyBorder="1" applyAlignment="1">
      <alignment horizontal="center" vertical="center" wrapText="1"/>
    </xf>
    <xf numFmtId="0" fontId="5" fillId="11" borderId="35" xfId="14" applyFill="1" applyBorder="1" applyAlignment="1">
      <alignment vertical="center"/>
    </xf>
    <xf numFmtId="37" fontId="5" fillId="0" borderId="35" xfId="14" applyNumberFormat="1" applyBorder="1" applyAlignment="1">
      <alignment horizontal="center" vertical="center"/>
    </xf>
  </cellXfs>
  <cellStyles count="15">
    <cellStyle name="_x000d__x000a_JournalTemplate=C:\COMFO\CTALK\JOURSTD.TPL_x000d__x000a_LbStateAddress=3 3 0 251 1 89 2 311_x000d__x000a_LbStateJou" xfId="4" xr:uid="{31ED8DA0-F253-4DF3-ACCA-FBEA127516C9}"/>
    <cellStyle name="Hiperlink" xfId="3" builtinId="8"/>
    <cellStyle name="Normal" xfId="0" builtinId="0"/>
    <cellStyle name="Normal 10" xfId="10" xr:uid="{1CEB72E9-36A4-445C-AB09-89F9D0DAA9B6}"/>
    <cellStyle name="Normal 133" xfId="5" xr:uid="{59EC4460-5A65-45DF-ADDA-3ABBE63C9933}"/>
    <cellStyle name="Normal 2 10" xfId="14" xr:uid="{E75E8495-2DDE-4B52-A911-E46D83F65749}"/>
    <cellStyle name="Normal 2 102" xfId="13" xr:uid="{F46770A5-22C6-4816-BA99-714C19B68678}"/>
    <cellStyle name="Normal 2 2" xfId="7" xr:uid="{EFB515EA-32C0-4BCB-9F95-221B57DD1761}"/>
    <cellStyle name="Normal 3 104 2" xfId="9" xr:uid="{73C2D20C-2B93-4EF8-97C1-AA9FC6372DA4}"/>
    <cellStyle name="Normal 73" xfId="8" xr:uid="{7FFB76E3-418C-4B9D-9F02-75569073454D}"/>
    <cellStyle name="Porcentagem" xfId="2" builtinId="5"/>
    <cellStyle name="Porcentagem 2" xfId="12" xr:uid="{9C06F06B-7A5E-46D8-A8ED-B672AAE27ECA}"/>
    <cellStyle name="Vírgula" xfId="1" builtinId="3"/>
    <cellStyle name="Vírgula 18" xfId="6" xr:uid="{88CF6D55-ED4C-48E2-9650-999541F8BD77}"/>
    <cellStyle name="Vírgula 2" xfId="11" xr:uid="{4FDBFAF4-B233-4BA1-A210-94F652B44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Distribuição dos Encargos da Dívida 2013</a:t>
            </a:r>
          </a:p>
        </c:rich>
      </c:tx>
      <c:layout>
        <c:manualLayout>
          <c:xMode val="edge"/>
          <c:yMode val="edge"/>
          <c:x val="0.22980196574462816"/>
          <c:y val="4.9360976170956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910923261936302"/>
          <c:y val="0.21502606244198441"/>
          <c:w val="0.52338977586577007"/>
          <c:h val="0.6738447328798771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5122212058942611"/>
          <c:y val="0.92771856979124123"/>
          <c:w val="0.51389401188019435"/>
          <c:h val="5.5123248435610672E-2"/>
        </c:manualLayout>
      </c:layout>
      <c:overlay val="0"/>
      <c:txPr>
        <a:bodyPr/>
        <a:lstStyle/>
        <a:p>
          <a:pPr rtl="0">
            <a:defRPr sz="120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944465</xdr:colOff>
      <xdr:row>1</xdr:row>
      <xdr:rowOff>46918</xdr:rowOff>
    </xdr:from>
    <xdr:to>
      <xdr:col>1</xdr:col>
      <xdr:colOff>2111563</xdr:colOff>
      <xdr:row>4</xdr:row>
      <xdr:rowOff>60156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01CD0AFC-C11D-4E61-B9D2-CF4753A993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084165" y="91368"/>
          <a:ext cx="1167098" cy="603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3400658</xdr:colOff>
      <xdr:row>8</xdr:row>
      <xdr:rowOff>238124</xdr:rowOff>
    </xdr:from>
    <xdr:to>
      <xdr:col>3</xdr:col>
      <xdr:colOff>2201</xdr:colOff>
      <xdr:row>36</xdr:row>
      <xdr:rowOff>30162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43821F31-01E5-4DC8-9022-BFC54A26E1DD}"/>
            </a:ext>
          </a:extLst>
        </xdr:cNvPr>
        <xdr:cNvSpPr/>
      </xdr:nvSpPr>
      <xdr:spPr>
        <a:xfrm>
          <a:off x="3540358" y="1654174"/>
          <a:ext cx="906843" cy="6097588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1165397</xdr:colOff>
      <xdr:row>1</xdr:row>
      <xdr:rowOff>29283</xdr:rowOff>
    </xdr:from>
    <xdr:ext cx="1131647" cy="560782"/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1019B825-0463-433D-9F32-9F3048FE02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31647" cy="560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15240</xdr:colOff>
      <xdr:row>8</xdr:row>
      <xdr:rowOff>179295</xdr:rowOff>
    </xdr:from>
    <xdr:to>
      <xdr:col>3</xdr:col>
      <xdr:colOff>2278</xdr:colOff>
      <xdr:row>42</xdr:row>
      <xdr:rowOff>7620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05EDC9A3-B1C2-4899-A493-9C81E6FCB252}"/>
            </a:ext>
          </a:extLst>
        </xdr:cNvPr>
        <xdr:cNvSpPr/>
      </xdr:nvSpPr>
      <xdr:spPr>
        <a:xfrm>
          <a:off x="3723640" y="1493745"/>
          <a:ext cx="825238" cy="6324375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1165397</xdr:colOff>
      <xdr:row>1</xdr:row>
      <xdr:rowOff>29283</xdr:rowOff>
    </xdr:from>
    <xdr:ext cx="1128472" cy="578471"/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2833ECAD-4DD9-4646-9752-0A12AD6B37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28472" cy="57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0</xdr:colOff>
      <xdr:row>8</xdr:row>
      <xdr:rowOff>179294</xdr:rowOff>
    </xdr:from>
    <xdr:to>
      <xdr:col>2</xdr:col>
      <xdr:colOff>809997</xdr:colOff>
      <xdr:row>32</xdr:row>
      <xdr:rowOff>6625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6C813D81-1F39-4935-9643-95CC97AE4F71}"/>
            </a:ext>
          </a:extLst>
        </xdr:cNvPr>
        <xdr:cNvSpPr/>
      </xdr:nvSpPr>
      <xdr:spPr>
        <a:xfrm>
          <a:off x="4311650" y="1608044"/>
          <a:ext cx="809997" cy="531373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1165397</xdr:colOff>
      <xdr:row>1</xdr:row>
      <xdr:rowOff>29283</xdr:rowOff>
    </xdr:from>
    <xdr:to>
      <xdr:col>1</xdr:col>
      <xdr:colOff>2302759</xdr:colOff>
      <xdr:row>3</xdr:row>
      <xdr:rowOff>175207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24D02E78-2397-41D3-9911-E519EBA195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37362" cy="53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1165397</xdr:colOff>
      <xdr:row>1</xdr:row>
      <xdr:rowOff>29283</xdr:rowOff>
    </xdr:from>
    <xdr:to>
      <xdr:col>1</xdr:col>
      <xdr:colOff>2213428</xdr:colOff>
      <xdr:row>4</xdr:row>
      <xdr:rowOff>40641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9CA8B6ED-E197-4ACE-96FE-6F1E925390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040" y="74640"/>
          <a:ext cx="1048031" cy="61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1894314</xdr:colOff>
      <xdr:row>1</xdr:row>
      <xdr:rowOff>78375</xdr:rowOff>
    </xdr:from>
    <xdr:to>
      <xdr:col>1</xdr:col>
      <xdr:colOff>2866572</xdr:colOff>
      <xdr:row>4</xdr:row>
      <xdr:rowOff>136781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A0BFF61D-15AB-42EF-9240-4AEDFBF267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957814" y="123732"/>
          <a:ext cx="972258" cy="602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588677</xdr:colOff>
      <xdr:row>1</xdr:row>
      <xdr:rowOff>67648</xdr:rowOff>
    </xdr:from>
    <xdr:to>
      <xdr:col>1</xdr:col>
      <xdr:colOff>1684058</xdr:colOff>
      <xdr:row>4</xdr:row>
      <xdr:rowOff>58872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3A7C6D47-8B6E-4330-99FC-EBA22F2FCC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779177" y="112098"/>
          <a:ext cx="1095381" cy="581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14382</xdr:colOff>
      <xdr:row>9</xdr:row>
      <xdr:rowOff>7619</xdr:rowOff>
    </xdr:from>
    <xdr:to>
      <xdr:col>2</xdr:col>
      <xdr:colOff>795620</xdr:colOff>
      <xdr:row>21</xdr:row>
      <xdr:rowOff>228600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0CBDC41D-A5F2-4282-8803-BA4593FFC8DB}"/>
            </a:ext>
          </a:extLst>
        </xdr:cNvPr>
        <xdr:cNvSpPr/>
      </xdr:nvSpPr>
      <xdr:spPr>
        <a:xfrm>
          <a:off x="2846482" y="1658619"/>
          <a:ext cx="781238" cy="299593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389140</xdr:colOff>
      <xdr:row>1</xdr:row>
      <xdr:rowOff>71635</xdr:rowOff>
    </xdr:from>
    <xdr:to>
      <xdr:col>1</xdr:col>
      <xdr:colOff>1389232</xdr:colOff>
      <xdr:row>4</xdr:row>
      <xdr:rowOff>55887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09D75795-1737-42D7-8A28-F5782EE440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452640" y="116085"/>
          <a:ext cx="1000092" cy="57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6350</xdr:colOff>
      <xdr:row>9</xdr:row>
      <xdr:rowOff>1</xdr:rowOff>
    </xdr:from>
    <xdr:to>
      <xdr:col>2</xdr:col>
      <xdr:colOff>755373</xdr:colOff>
      <xdr:row>17</xdr:row>
      <xdr:rowOff>177801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5A0AF694-CE3E-414C-A30A-E11EB53BE43E}"/>
            </a:ext>
          </a:extLst>
        </xdr:cNvPr>
        <xdr:cNvSpPr/>
      </xdr:nvSpPr>
      <xdr:spPr>
        <a:xfrm>
          <a:off x="2305050" y="1625601"/>
          <a:ext cx="749023" cy="170180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104</xdr:colOff>
      <xdr:row>21</xdr:row>
      <xdr:rowOff>5391</xdr:rowOff>
    </xdr:from>
    <xdr:to>
      <xdr:col>2</xdr:col>
      <xdr:colOff>755373</xdr:colOff>
      <xdr:row>29</xdr:row>
      <xdr:rowOff>25055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F5B851EC-2550-4C15-B57D-58C81F988DA8}"/>
            </a:ext>
          </a:extLst>
        </xdr:cNvPr>
        <xdr:cNvSpPr/>
      </xdr:nvSpPr>
      <xdr:spPr>
        <a:xfrm>
          <a:off x="2298804" y="3916991"/>
          <a:ext cx="755269" cy="1543664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16564</xdr:colOff>
      <xdr:row>33</xdr:row>
      <xdr:rowOff>11043</xdr:rowOff>
    </xdr:from>
    <xdr:to>
      <xdr:col>2</xdr:col>
      <xdr:colOff>767521</xdr:colOff>
      <xdr:row>40</xdr:row>
      <xdr:rowOff>176696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8792D60A-D184-40EC-886F-0BC109978C42}"/>
            </a:ext>
          </a:extLst>
        </xdr:cNvPr>
        <xdr:cNvSpPr/>
      </xdr:nvSpPr>
      <xdr:spPr>
        <a:xfrm>
          <a:off x="2315264" y="6208643"/>
          <a:ext cx="750957" cy="1499153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8966</xdr:colOff>
      <xdr:row>8</xdr:row>
      <xdr:rowOff>187325</xdr:rowOff>
    </xdr:from>
    <xdr:to>
      <xdr:col>13</xdr:col>
      <xdr:colOff>779930</xdr:colOff>
      <xdr:row>26</xdr:row>
      <xdr:rowOff>11723</xdr:rowOff>
    </xdr:to>
    <xdr:sp macro="" textlink="">
      <xdr:nvSpPr>
        <xdr:cNvPr id="8" name="Retângulo: Cantos Arredondados 7">
          <a:extLst>
            <a:ext uri="{FF2B5EF4-FFF2-40B4-BE49-F238E27FC236}">
              <a16:creationId xmlns:a16="http://schemas.microsoft.com/office/drawing/2014/main" id="{6E993201-6750-4632-AD78-8955456A30B5}"/>
            </a:ext>
          </a:extLst>
        </xdr:cNvPr>
        <xdr:cNvSpPr/>
      </xdr:nvSpPr>
      <xdr:spPr>
        <a:xfrm>
          <a:off x="12486716" y="1616075"/>
          <a:ext cx="770964" cy="3259748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3398559</xdr:colOff>
      <xdr:row>32</xdr:row>
      <xdr:rowOff>164912</xdr:rowOff>
    </xdr:from>
    <xdr:to>
      <xdr:col>13</xdr:col>
      <xdr:colOff>792443</xdr:colOff>
      <xdr:row>41</xdr:row>
      <xdr:rowOff>44823</xdr:rowOff>
    </xdr:to>
    <xdr:sp macro="" textlink="">
      <xdr:nvSpPr>
        <xdr:cNvPr id="9" name="Retângulo: Cantos Arredondados 8">
          <a:extLst>
            <a:ext uri="{FF2B5EF4-FFF2-40B4-BE49-F238E27FC236}">
              <a16:creationId xmlns:a16="http://schemas.microsoft.com/office/drawing/2014/main" id="{C780288E-C833-4941-9601-F84A86DD58C4}"/>
            </a:ext>
          </a:extLst>
        </xdr:cNvPr>
        <xdr:cNvSpPr/>
      </xdr:nvSpPr>
      <xdr:spPr>
        <a:xfrm>
          <a:off x="12466359" y="6172012"/>
          <a:ext cx="803834" cy="159441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0</xdr:colOff>
      <xdr:row>9</xdr:row>
      <xdr:rowOff>1306</xdr:rowOff>
    </xdr:from>
    <xdr:to>
      <xdr:col>25</xdr:col>
      <xdr:colOff>0</xdr:colOff>
      <xdr:row>25</xdr:row>
      <xdr:rowOff>177898</xdr:rowOff>
    </xdr:to>
    <xdr:sp macro="" textlink="">
      <xdr:nvSpPr>
        <xdr:cNvPr id="10" name="Retângulo: Cantos Arredondados 9">
          <a:extLst>
            <a:ext uri="{FF2B5EF4-FFF2-40B4-BE49-F238E27FC236}">
              <a16:creationId xmlns:a16="http://schemas.microsoft.com/office/drawing/2014/main" id="{5F86EEF1-F9E7-465F-9B21-A55E08BA9F83}"/>
            </a:ext>
          </a:extLst>
        </xdr:cNvPr>
        <xdr:cNvSpPr/>
      </xdr:nvSpPr>
      <xdr:spPr>
        <a:xfrm>
          <a:off x="22682200" y="1626906"/>
          <a:ext cx="806450" cy="3224592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35</xdr:col>
      <xdr:colOff>0</xdr:colOff>
      <xdr:row>8</xdr:row>
      <xdr:rowOff>178433</xdr:rowOff>
    </xdr:from>
    <xdr:to>
      <xdr:col>36</xdr:col>
      <xdr:colOff>0</xdr:colOff>
      <xdr:row>25</xdr:row>
      <xdr:rowOff>187570</xdr:rowOff>
    </xdr:to>
    <xdr:sp macro="" textlink="">
      <xdr:nvSpPr>
        <xdr:cNvPr id="11" name="Retângulo: Cantos Arredondados 10">
          <a:extLst>
            <a:ext uri="{FF2B5EF4-FFF2-40B4-BE49-F238E27FC236}">
              <a16:creationId xmlns:a16="http://schemas.microsoft.com/office/drawing/2014/main" id="{0D10247F-3F8B-40AE-A223-EAF70B2075DD}"/>
            </a:ext>
          </a:extLst>
        </xdr:cNvPr>
        <xdr:cNvSpPr/>
      </xdr:nvSpPr>
      <xdr:spPr>
        <a:xfrm>
          <a:off x="32886650" y="1607183"/>
          <a:ext cx="806450" cy="325398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46</xdr:col>
      <xdr:colOff>2345</xdr:colOff>
      <xdr:row>9</xdr:row>
      <xdr:rowOff>0</xdr:rowOff>
    </xdr:from>
    <xdr:to>
      <xdr:col>46</xdr:col>
      <xdr:colOff>805142</xdr:colOff>
      <xdr:row>25</xdr:row>
      <xdr:rowOff>175847</xdr:rowOff>
    </xdr:to>
    <xdr:sp macro="" textlink="">
      <xdr:nvSpPr>
        <xdr:cNvPr id="12" name="Retângulo: Cantos Arredondados 11">
          <a:extLst>
            <a:ext uri="{FF2B5EF4-FFF2-40B4-BE49-F238E27FC236}">
              <a16:creationId xmlns:a16="http://schemas.microsoft.com/office/drawing/2014/main" id="{22EBAF31-55E6-46A5-9D8C-5711C9898D36}"/>
            </a:ext>
          </a:extLst>
        </xdr:cNvPr>
        <xdr:cNvSpPr/>
      </xdr:nvSpPr>
      <xdr:spPr>
        <a:xfrm>
          <a:off x="43093445" y="1625600"/>
          <a:ext cx="802797" cy="322384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3114339</xdr:colOff>
      <xdr:row>8</xdr:row>
      <xdr:rowOff>168088</xdr:rowOff>
    </xdr:from>
    <xdr:to>
      <xdr:col>68</xdr:col>
      <xdr:colOff>789903</xdr:colOff>
      <xdr:row>25</xdr:row>
      <xdr:rowOff>175846</xdr:rowOff>
    </xdr:to>
    <xdr:sp macro="" textlink="">
      <xdr:nvSpPr>
        <xdr:cNvPr id="13" name="Retângulo: Cantos Arredondados 12">
          <a:extLst>
            <a:ext uri="{FF2B5EF4-FFF2-40B4-BE49-F238E27FC236}">
              <a16:creationId xmlns:a16="http://schemas.microsoft.com/office/drawing/2014/main" id="{2F485F9F-1F3D-4704-8CD9-51F3605209C4}"/>
            </a:ext>
          </a:extLst>
        </xdr:cNvPr>
        <xdr:cNvSpPr/>
      </xdr:nvSpPr>
      <xdr:spPr>
        <a:xfrm>
          <a:off x="63706039" y="1596838"/>
          <a:ext cx="850564" cy="3252608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57</xdr:col>
      <xdr:colOff>3208</xdr:colOff>
      <xdr:row>8</xdr:row>
      <xdr:rowOff>196849</xdr:rowOff>
    </xdr:from>
    <xdr:to>
      <xdr:col>58</xdr:col>
      <xdr:colOff>0</xdr:colOff>
      <xdr:row>25</xdr:row>
      <xdr:rowOff>184150</xdr:rowOff>
    </xdr:to>
    <xdr:sp macro="" textlink="">
      <xdr:nvSpPr>
        <xdr:cNvPr id="14" name="Retângulo: Cantos Arredondados 13">
          <a:extLst>
            <a:ext uri="{FF2B5EF4-FFF2-40B4-BE49-F238E27FC236}">
              <a16:creationId xmlns:a16="http://schemas.microsoft.com/office/drawing/2014/main" id="{3E2A6CA3-133A-4903-B959-EE992E834309}"/>
            </a:ext>
          </a:extLst>
        </xdr:cNvPr>
        <xdr:cNvSpPr/>
      </xdr:nvSpPr>
      <xdr:spPr>
        <a:xfrm>
          <a:off x="53298758" y="1625599"/>
          <a:ext cx="803242" cy="323215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887000</xdr:colOff>
      <xdr:row>1</xdr:row>
      <xdr:rowOff>28410</xdr:rowOff>
    </xdr:from>
    <xdr:to>
      <xdr:col>1</xdr:col>
      <xdr:colOff>1886874</xdr:colOff>
      <xdr:row>4</xdr:row>
      <xdr:rowOff>130806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FBBE161C-2CDB-4377-AFCA-187EC2141E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039400" y="123660"/>
          <a:ext cx="999874" cy="635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15651</xdr:colOff>
      <xdr:row>9</xdr:row>
      <xdr:rowOff>4306</xdr:rowOff>
    </xdr:from>
    <xdr:to>
      <xdr:col>3</xdr:col>
      <xdr:colOff>2689</xdr:colOff>
      <xdr:row>40</xdr:row>
      <xdr:rowOff>10510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C5DAB328-8099-4653-BE4E-65DF4C0328D8}"/>
            </a:ext>
          </a:extLst>
        </xdr:cNvPr>
        <xdr:cNvSpPr/>
      </xdr:nvSpPr>
      <xdr:spPr>
        <a:xfrm>
          <a:off x="3857401" y="1655306"/>
          <a:ext cx="825238" cy="8121504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15240</xdr:colOff>
      <xdr:row>9</xdr:row>
      <xdr:rowOff>7621</xdr:rowOff>
    </xdr:from>
    <xdr:to>
      <xdr:col>16</xdr:col>
      <xdr:colOff>2278</xdr:colOff>
      <xdr:row>39</xdr:row>
      <xdr:rowOff>251461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C8E62697-0A0B-48B1-8BE3-4AB7903B666A}"/>
            </a:ext>
          </a:extLst>
        </xdr:cNvPr>
        <xdr:cNvSpPr/>
      </xdr:nvSpPr>
      <xdr:spPr>
        <a:xfrm>
          <a:off x="15864840" y="1658621"/>
          <a:ext cx="825238" cy="809244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1632217</xdr:colOff>
      <xdr:row>1</xdr:row>
      <xdr:rowOff>86013</xdr:rowOff>
    </xdr:from>
    <xdr:to>
      <xdr:col>1</xdr:col>
      <xdr:colOff>2759437</xdr:colOff>
      <xdr:row>4</xdr:row>
      <xdr:rowOff>130315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5F4DB6F6-FC0D-472A-B55D-8AF573F5DB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727467" y="130463"/>
          <a:ext cx="1127220" cy="580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1259248</xdr:colOff>
      <xdr:row>1</xdr:row>
      <xdr:rowOff>82838</xdr:rowOff>
    </xdr:from>
    <xdr:to>
      <xdr:col>1</xdr:col>
      <xdr:colOff>2382023</xdr:colOff>
      <xdr:row>9</xdr:row>
      <xdr:rowOff>25888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A65BE2DA-F998-438C-8B3F-DC40CB6C49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329098" y="127288"/>
          <a:ext cx="1122775" cy="58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45473</xdr:colOff>
      <xdr:row>37</xdr:row>
      <xdr:rowOff>0</xdr:rowOff>
    </xdr:from>
    <xdr:to>
      <xdr:col>26</xdr:col>
      <xdr:colOff>28010</xdr:colOff>
      <xdr:row>49</xdr:row>
      <xdr:rowOff>76538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AC58BD-328D-49CE-BF77-5E3BBF15A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616310</xdr:colOff>
      <xdr:row>1</xdr:row>
      <xdr:rowOff>74107</xdr:rowOff>
    </xdr:from>
    <xdr:to>
      <xdr:col>1</xdr:col>
      <xdr:colOff>1736228</xdr:colOff>
      <xdr:row>4</xdr:row>
      <xdr:rowOff>101784</xdr:rowOff>
    </xdr:to>
    <xdr:pic>
      <xdr:nvPicPr>
        <xdr:cNvPr id="3" name="Imagem 2" descr="ISA CTEEP – Companhia de Transmissão de Energia Elétrica Paulista">
          <a:extLst>
            <a:ext uri="{FF2B5EF4-FFF2-40B4-BE49-F238E27FC236}">
              <a16:creationId xmlns:a16="http://schemas.microsoft.com/office/drawing/2014/main" id="{95F6001D-CC08-4006-9CC2-263030D398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686160" y="118557"/>
          <a:ext cx="1119918" cy="561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73086</xdr:colOff>
      <xdr:row>1</xdr:row>
      <xdr:rowOff>103690</xdr:rowOff>
    </xdr:from>
    <xdr:to>
      <xdr:col>1</xdr:col>
      <xdr:colOff>1085850</xdr:colOff>
      <xdr:row>8</xdr:row>
      <xdr:rowOff>129735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E2DFD849-DA90-442C-AE62-C39EF2A7D4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68336" y="148140"/>
          <a:ext cx="1012764" cy="524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145662</xdr:colOff>
      <xdr:row>1</xdr:row>
      <xdr:rowOff>10046</xdr:rowOff>
    </xdr:from>
    <xdr:to>
      <xdr:col>2</xdr:col>
      <xdr:colOff>2864</xdr:colOff>
      <xdr:row>4</xdr:row>
      <xdr:rowOff>114172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C07A0466-DB43-44BD-833F-C6BDDACC68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215512" y="54496"/>
          <a:ext cx="1127202" cy="637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zserv\Planejamento%20Financeiro\A-Eletrobr&#225;s\Auxiliares\A-Banco%20de%20Dados\Ban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Y\C\ipea\Pib\pib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Índice"/>
      <sheetName val="Consumidores"/>
      <sheetName val="Forfait"/>
      <sheetName val="Venda-MWh"/>
      <sheetName val="Outros"/>
      <sheetName val="Compra-Mwh"/>
      <sheetName val="Compra-R$"/>
      <sheetName val="Fatur. Bruto-Comercial"/>
      <sheetName val="T I P"/>
      <sheetName val="ICMS Fat."/>
      <sheetName val="Importe-Comercial"/>
      <sheetName val="Importe-Contábil"/>
      <sheetName val="ICMS Contábil"/>
      <sheetName val="Importe+ICMS"/>
      <sheetName val="Tarifa Comercial"/>
      <sheetName val="Tarifa Contabilidade"/>
      <sheetName val="Arrec. Bruta"/>
      <sheetName val="ICMS  Arrec."/>
      <sheetName val="Arrec.Líquida"/>
      <sheetName val="Pessoal"/>
      <sheetName val="Mercado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nco"/>
      <sheetName val="Balanço"/>
      <sheetName val="INDIECO1"/>
      <sheetName val="ASSUM"/>
      <sheetName val="Sist.Transm.Dist.Glob. "/>
      <sheetName val="Spot"/>
      <sheetName val="Taxes"/>
      <sheetName val="RESUMO"/>
      <sheetName val="Dados2"/>
      <sheetName val="LISTAS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Metalúrgica"/>
      <sheetName val="SETTINGS"/>
      <sheetName val="TermoPE"/>
      <sheetName val="DRE e FLUXO CAIXA"/>
      <sheetName val="Índices"/>
      <sheetName val="Tabela aux."/>
      <sheetName val="Dados"/>
      <sheetName val="ce"/>
      <sheetName val="CECO"/>
      <sheetName val="TESTE"/>
      <sheetName val="DEBE"/>
      <sheetName val="EOFI"/>
      <sheetName val="Validacao_Dados"/>
      <sheetName val="Consol. Energia Ger"/>
      <sheetName val="DRE_Cemar_Orçam"/>
      <sheetName val="  "/>
      <sheetName val="AA-10(Op.63)"/>
      <sheetName val="Inventário PA"/>
      <sheetName val="Aquisição"/>
      <sheetName val="ABRIL 2000"/>
      <sheetName val="FF3"/>
      <sheetName val="Apoio"/>
      <sheetName val="Classificação"/>
      <sheetName val="OTR.CRED."/>
      <sheetName val="tarifas_abertas_internet"/>
      <sheetName val="Sist_Transm_Dist_Glob__"/>
      <sheetName val="Base_Calc"/>
      <sheetName val="Base_Dados"/>
      <sheetName val="Taxas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1"/>
      <sheetName val="Sist_Transm_Dist_Glob__1"/>
      <sheetName val="Plan1 (2)"/>
      <sheetName val="AUXILIAR"/>
      <sheetName val="Cursos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BASE RATEIO DIRETORIA"/>
      <sheetName val="Validação de Dados"/>
      <sheetName val="AVC Garabi II Set18"/>
      <sheetName val="Listas e Tabelas"/>
      <sheetName val="Siglas e Legendas"/>
      <sheetName val="IREM"/>
      <sheetName val="Plan2"/>
      <sheetName val="Plan3"/>
      <sheetName val="CVA_Projetada12meses"/>
      <sheetName val="CUSTOS"/>
      <sheetName val="Tabela_valores_módulos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_PIB_Brasil_(_R$_de_1996_)2"/>
      <sheetName val="tarifas_abertas_internet2"/>
      <sheetName val="Sist_Transm_Dist_Glob__2"/>
      <sheetName val="Base_FIN-NNG-PRE1"/>
      <sheetName val="Base_O&amp;M1"/>
      <sheetName val="DRE_e_FLUXO_CAIXA1"/>
      <sheetName val="Tabela_aux_1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Consol__Energia_Ger1"/>
      <sheetName val="ABRIL_20001"/>
      <sheetName val="__1"/>
      <sheetName val="AA-10(Op_63)1"/>
      <sheetName val="Inventário_PA1"/>
      <sheetName val="OTR_CRED_"/>
      <sheetName val="BASE_RATEIO_DIRETORIA"/>
      <sheetName val="Validação_de_Dados"/>
      <sheetName val="Plan1_(2)"/>
      <sheetName val="AVC_Garabi_II_Set18"/>
      <sheetName val="Listas_e_Tabelas"/>
      <sheetName val="Siglas_e_Legendas"/>
      <sheetName val="Receivables"/>
      <sheetName val="Cash"/>
      <sheetName val="Avaliação"/>
      <sheetName val="#REF"/>
      <sheetName val="CSCCincSKR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_data"/>
      <sheetName val="APOIO_LISTA"/>
      <sheetName val="RECEITAS_DE_TARIFAS"/>
      <sheetName val="SUBSIDIOS_CDE_TARIFAS"/>
      <sheetName val="Definições_Consolidada"/>
      <sheetName val="Fatur__Bruto-Comercial3"/>
      <sheetName val="T_I_P3"/>
      <sheetName val="ICMS_Fat_3"/>
      <sheetName val="ICMS_Contábil3"/>
      <sheetName val="Tarifa_Comercial3"/>
      <sheetName val="Tarifa_Contabilidade3"/>
      <sheetName val="Arrec__Bruta3"/>
      <sheetName val="ICMS__Arrec_3"/>
      <sheetName val="Arrec_Líquida3"/>
      <sheetName val="_PIB_Brasil_(_R$_de_1996_)3"/>
      <sheetName val="tarifas_abertas_internet3"/>
      <sheetName val="Sist_Transm_Dist_Glob__3"/>
      <sheetName val="Comparativos_-_Abr-022"/>
      <sheetName val="Comparativos___Abr_022"/>
      <sheetName val="Comparativos_-_Fev-022"/>
      <sheetName val="Comparativos___Fev_022"/>
      <sheetName val="Comparativos_-_Jan-022"/>
      <sheetName val="Comparativos___Jan_022"/>
      <sheetName val="Comparativos_-_Mar-022"/>
      <sheetName val="Comparativos___Mar_022"/>
      <sheetName val="Comentários_Jan-02_2"/>
      <sheetName val="Comentários_Jan_02_2"/>
      <sheetName val="DRE_e_FLUXO_CAIXA2"/>
      <sheetName val="Tabela_aux_2"/>
      <sheetName val="Base_FIN-NNG-PRE2"/>
      <sheetName val="Base_O&amp;M2"/>
      <sheetName val="Consol__Energia_Ger2"/>
      <sheetName val="Plan1_(2)1"/>
      <sheetName val="__2"/>
      <sheetName val="AA-10(Op_63)2"/>
      <sheetName val="Inventário_PA2"/>
      <sheetName val="ABRIL_20002"/>
      <sheetName val="OTR_CRED_1"/>
      <sheetName val="BASE_RATEIO_DIRETORIA1"/>
      <sheetName val="Validação_de_Dados1"/>
      <sheetName val="AVC_Garabi_II_Set181"/>
      <sheetName val="Listas_e_Tabelas1"/>
      <sheetName val="Siglas_e_Legendas1"/>
      <sheetName val="OCRE"/>
      <sheetName val="MENSAL"/>
      <sheetName val="FX_RES"/>
      <sheetName val="TENSÃO"/>
      <sheetName val="VALIDADOR"/>
      <sheetName val="1996"/>
      <sheetName val="Projeção Receita"/>
      <sheetName val="Simulação Mensal"/>
      <sheetName val="Cotação Areva SE's 2008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Mercado_Receita"/>
      <sheetName val="Cotação_Areva_SE's_2008"/>
      <sheetName val="Fatur__Bruto-Comercial4"/>
      <sheetName val="T_I_P4"/>
      <sheetName val="ICMS_Fat_4"/>
      <sheetName val="ICMS_Contábil4"/>
      <sheetName val="Tarifa_Comercial4"/>
      <sheetName val="Tarifa_Contabilidade4"/>
      <sheetName val="Arrec__Bruta4"/>
      <sheetName val="ICMS__Arrec_4"/>
      <sheetName val="Arrec_Líquida4"/>
      <sheetName val="_PIB_Brasil_(_R$_de_1996_)4"/>
      <sheetName val="tarifas_abertas_internet4"/>
      <sheetName val="Sist_Transm_Dist_Glob__4"/>
      <sheetName val="Base_FIN-NNG-PRE3"/>
      <sheetName val="Base_O&amp;M3"/>
      <sheetName val="DRE_e_FLUXO_CAIXA3"/>
      <sheetName val="Tabela_aux_3"/>
      <sheetName val="Comparativos_-_Abr-023"/>
      <sheetName val="Comparativos___Abr_023"/>
      <sheetName val="Comparativos_-_Fev-023"/>
      <sheetName val="Comparativos___Fev_023"/>
      <sheetName val="Comparativos_-_Jan-023"/>
      <sheetName val="Comparativos___Jan_023"/>
      <sheetName val="Comparativos_-_Mar-023"/>
      <sheetName val="Comparativos___Mar_023"/>
      <sheetName val="Comentários_Jan-02_3"/>
      <sheetName val="Comentários_Jan_02_3"/>
      <sheetName val="Consol__Energia_Ger3"/>
      <sheetName val="__3"/>
      <sheetName val="AA-10(Op_63)3"/>
      <sheetName val="Inventário_PA3"/>
      <sheetName val="ABRIL_20003"/>
      <sheetName val="OTR_CRED_2"/>
      <sheetName val="Plan1_(2)2"/>
      <sheetName val="BASE_RATEIO_DIRETORIA2"/>
      <sheetName val="Validação_de_Dados2"/>
      <sheetName val="AVC_Garabi_II_Set182"/>
      <sheetName val="Listas_e_Tabelas2"/>
      <sheetName val="Siglas_e_Legendas2"/>
      <sheetName val="GASTOS LE2000"/>
      <sheetName val="SELIC"/>
      <sheetName val="Balancete"/>
      <sheetName val="Referência Macro"/>
      <sheetName val="FATORES"/>
      <sheetName val="Base Geral"/>
      <sheetName val="Planilha2"/>
      <sheetName val="DIN_19"/>
      <sheetName val="DIN_18"/>
      <sheetName val="DIN_OBZ"/>
      <sheetName val="Centro de Custo"/>
      <sheetName val="Painel"/>
      <sheetName val="DRE (Projetado)"/>
      <sheetName val="DRE_19"/>
      <sheetName val="DRE_18"/>
      <sheetName val="DRE_OBZ"/>
      <sheetName val="OP_COMP"/>
      <sheetName val="OP_19"/>
      <sheetName val="OP_18"/>
      <sheetName val="OP_OBZ"/>
      <sheetName val="Balanco"/>
      <sheetName val="Cash-flow"/>
      <sheetName val="BD_Tkt_18"/>
      <sheetName val="BD_Tkt_19"/>
      <sheetName val="BD_Saldo_18"/>
      <sheetName val="BD_Saldo_19"/>
      <sheetName val="Form09"/>
      <sheetName val="0_&lt;_VCM_&lt;_1_350"/>
      <sheetName val="BancoSegment"/>
      <sheetName val="CÁLCULO_GRÁFICO"/>
      <sheetName val="Dados_mensais"/>
      <sheetName val="DRA"/>
      <sheetName val="DRP"/>
      <sheetName val="FEV99"/>
      <sheetName val="Critérios"/>
      <sheetName val="RDEG fev 07"/>
      <sheetName val="PROCV"/>
      <sheetName val="Natureza"/>
      <sheetName val="Conta"/>
      <sheetName val="TD"/>
      <sheetName val="Base"/>
      <sheetName val="Planilha4"/>
      <sheetName val="Razão Contábil"/>
      <sheetName val="Inputs_Unidades_Geradoras"/>
      <sheetName val="Real Mensal"/>
      <sheetName val="Sispec99"/>
      <sheetName val="Tabelas"/>
      <sheetName val="Gráfico"/>
      <sheetName val="D.DRE_Acomp"/>
      <sheetName val="Classes"/>
      <sheetName val="Base - Não apagar"/>
      <sheetName val="Column Test-S2"/>
      <sheetName val="Base de Cálculo "/>
      <sheetName val="GoEight"/>
      <sheetName val="GrFour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dTxDep"/>
      <sheetName val="Bancos"/>
      <sheetName val="Margem Carteiras"/>
      <sheetName val="Result Ind Carteiras"/>
      <sheetName val="Result Ind Resumido"/>
      <sheetName val="Módulo1"/>
      <sheetName val="Módulo2"/>
      <sheetName val="Módulo3"/>
      <sheetName val="Cayman (USD)_2019 and 2020"/>
      <sheetName val="P&amp;L_EBITDA"/>
      <sheetName val="Razão"/>
      <sheetName val="Resumen"/>
      <sheetName val="GASTOS_LE2000"/>
      <sheetName val="Referência_Macro"/>
      <sheetName val="Base_-_Não_apagar"/>
      <sheetName val="Column_Test-S2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OPEC"/>
      <sheetName val="IND TOTAL"/>
      <sheetName val="IG"/>
      <sheetName val="CC"/>
      <sheetName val="siup "/>
      <sheetName val="comercio"/>
      <sheetName val="transporte"/>
      <sheetName val="comunicac"/>
      <sheetName val="IF"/>
      <sheetName val="APU"/>
      <sheetName val="OS"/>
      <sheetName val="TOTAL SERV"/>
      <sheetName val="DUMMY"/>
      <sheetName val="PIB(total uf)"/>
      <sheetName val=" PIB Brasil ( R$ de 1996 )"/>
      <sheetName val="Real_2004"/>
      <sheetName val="_PIB Brasil _ R_ de 1996 _"/>
      <sheetName val="pibr96"/>
      <sheetName val="#REF"/>
      <sheetName val="Grafico Cntr"/>
      <sheetName val="Dados de entrada"/>
      <sheetName val="PPA Tariff"/>
      <sheetName val="CVA_Projetada12meses"/>
      <sheetName val="INDIECO1"/>
      <sheetName val=""/>
      <sheetName val="IND_TOTAL"/>
      <sheetName val="siup_"/>
      <sheetName val="TOTAL_SERV"/>
      <sheetName val="PIB(total_uf)"/>
      <sheetName val="_PIB_Brasil_(_R$_de_1996_)"/>
      <sheetName val="Form09"/>
      <sheetName val="Auxiliar"/>
      <sheetName val="PROTOCOLO"/>
      <sheetName val="IND_TOTAL1"/>
      <sheetName val="siup_1"/>
      <sheetName val="TOTAL_SERV1"/>
      <sheetName val="PIB(total_uf)1"/>
      <sheetName val="_PIB_Brasil_(_R$_de_1996_)1"/>
      <sheetName val="_PIB_Brasil___R__de_1996__"/>
      <sheetName val="Grafico_Cntr"/>
      <sheetName val="Dados_de_entrada"/>
      <sheetName val="PPA_Tariff"/>
      <sheetName val="IND_TOTAL2"/>
      <sheetName val="siup_2"/>
      <sheetName val="TOTAL_SERV2"/>
      <sheetName val="PIB(total_uf)2"/>
      <sheetName val="_PIB_Brasil_(_R$_de_1996_)2"/>
      <sheetName val="_PIB_Brasil___R__de_1996__1"/>
      <sheetName val="Grafico_Cntr1"/>
      <sheetName val="Dados_de_entrada1"/>
      <sheetName val="PPA_Tariff1"/>
      <sheetName val="Variables"/>
      <sheetName val="Cosméticos"/>
      <sheetName val="Adtos Diversos"/>
      <sheetName val="ce"/>
      <sheetName val="GDP"/>
      <sheetName val="Mercado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"/>
      <sheetName val="apoio_data"/>
      <sheetName val="APOIO_LISTA"/>
      <sheetName val="RECEITAS_DE_TARIFAS"/>
      <sheetName val="SUBSIDIOS_CDE_TARIFAS"/>
      <sheetName val="Taxas"/>
      <sheetName val="Parque Gerador"/>
      <sheetName val="ResGeral-NOV01"/>
      <sheetName val="ResGeral_NOV01"/>
      <sheetName val="Base de dados"/>
      <sheetName val="Base de dados_EDV"/>
      <sheetName val="NATUREZA ORÇAMENTARIA"/>
      <sheetName val="Base de dados_UG"/>
      <sheetName val="COD_GERENCIAL"/>
      <sheetName val="HIDRAULICA"/>
      <sheetName val="ACUMULADO"/>
      <sheetName val="DADOS - 2007 Apl Finan"/>
      <sheetName val="Bal032002"/>
      <sheetName val="LCONTR"/>
      <sheetName val="Classes"/>
      <sheetName val="Validação dados_Pendências"/>
      <sheetName val="BALANMES"/>
      <sheetName val="Dados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rcado"/>
      <sheetName val="Capa"/>
      <sheetName val="Índice"/>
      <sheetName val="Balanço"/>
      <sheetName val="Compra-Mwh"/>
      <sheetName val="Venda-MWh"/>
      <sheetName val="Consumidores"/>
      <sheetName val="Forfait"/>
      <sheetName val="Outros"/>
      <sheetName val="Compra-R$"/>
      <sheetName val="Fatur. Bruto-Comercial"/>
      <sheetName val="Importe-Comercial"/>
      <sheetName val="ICMS Fat."/>
      <sheetName val="T I P"/>
      <sheetName val="Tarifa Comercial"/>
      <sheetName val="Arrec. Bruta"/>
      <sheetName val="Arrec.Líquida"/>
      <sheetName val="ICMS  Arrec."/>
      <sheetName val="Importe+ICMS"/>
      <sheetName val="Importe-Contábil"/>
      <sheetName val="ICMS Contábil"/>
      <sheetName val="Tarifa Contabilidade"/>
      <sheetName val="INDIECO1"/>
      <sheetName val="ASSUM"/>
      <sheetName val="Sist.Transm.Dist.Glob. "/>
      <sheetName val="Spot"/>
      <sheetName val="Taxes"/>
      <sheetName val="RESUMO"/>
      <sheetName val="Pessoal"/>
      <sheetName val=" PIB Brasil ( R$ de 1996 )"/>
      <sheetName val="FORMULÁRIO"/>
      <sheetName val="tarifas abertas internet"/>
      <sheetName val="BM&amp;F"/>
      <sheetName val="Plan1"/>
      <sheetName val="PAGAMENTO"/>
      <sheetName val="Metalúrgica"/>
      <sheetName val="SETTINGS"/>
      <sheetName val="Suporte"/>
      <sheetName val="2000"/>
      <sheetName val="Banco"/>
      <sheetName val="TermoPE"/>
      <sheetName val="DRE e FLUXO CAIXA"/>
      <sheetName val="Índices"/>
      <sheetName val="Tabela aux."/>
      <sheetName val="DRE_Cemar_Orçam"/>
      <sheetName val="  "/>
      <sheetName val="AA-10(Op.63)"/>
      <sheetName val="Inventário PA"/>
      <sheetName val="Dados2"/>
      <sheetName val="LISTAS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Aquisição"/>
      <sheetName val="ABRIL 2000"/>
      <sheetName val="FF3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Consol. Energia Ger"/>
      <sheetName val="DEBE"/>
      <sheetName val="EOFI"/>
      <sheetName val="ce"/>
      <sheetName val="CECO"/>
      <sheetName val="TESTE"/>
      <sheetName val="Dados"/>
      <sheetName val="Validacao_Dados"/>
      <sheetName val="OTR.CRED."/>
      <sheetName val="Apoio"/>
      <sheetName val="Classificação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"/>
      <sheetName val="Sist_Transm_Dist_Glob__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Cursos"/>
      <sheetName val="CUSTOS"/>
      <sheetName val="IREM"/>
      <sheetName val="Plan2"/>
      <sheetName val="Plan3"/>
      <sheetName val="CVA_Projetada12meses"/>
      <sheetName val="Tabela_valores_módulos"/>
      <sheetName val="Avaliação"/>
      <sheetName val="Plan1 (2)"/>
      <sheetName val="Base_Calc"/>
      <sheetName val="Base_Dados"/>
      <sheetName val="Taxas"/>
      <sheetName val="tarifas_abertas_internet1"/>
      <sheetName val="Sist_Transm_Dist_Glob__1"/>
      <sheetName val="AUXILIAR"/>
      <sheetName val="Projeção Receita"/>
      <sheetName val="Simulação Mensal"/>
      <sheetName val="BASE RATEIO DIRETORIA"/>
      <sheetName val="Validação de Dados"/>
      <sheetName val="VALIDADOR"/>
      <sheetName val="1996"/>
      <sheetName val="Cotação Areva SE's 2008"/>
      <sheetName val="Listas e Tabelas"/>
      <sheetName val="Siglas e Legendas"/>
      <sheetName val="AVC Garabi II Set18"/>
      <sheetName val="#REF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_PIB_Brasil_(_R$_de_1996_)2"/>
      <sheetName val="tarifas_abertas_internet2"/>
      <sheetName val="Sist_Transm_Dist_Glob__2"/>
      <sheetName val="Base_FIN-NNG-PRE1"/>
      <sheetName val="Base_O&amp;M1"/>
      <sheetName val="DRE_e_FLUXO_CAIXA1"/>
      <sheetName val="Tabela_aux_1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Consol__Energia_Ger1"/>
      <sheetName val="ABRIL_20001"/>
      <sheetName val="__1"/>
      <sheetName val="AA-10(Op_63)1"/>
      <sheetName val="Inventário_PA1"/>
      <sheetName val="OTR_CRED_"/>
      <sheetName val="BASE_RATEIO_DIRETORIA"/>
      <sheetName val="Validação_de_Dados"/>
      <sheetName val="Plan1_(2)"/>
      <sheetName val="AVC_Garabi_II_Set18"/>
      <sheetName val="Listas_e_Tabelas"/>
      <sheetName val="Siglas_e_Legendas"/>
      <sheetName val="Receivables"/>
      <sheetName val="Cash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_data"/>
      <sheetName val="APOIO_LISTA"/>
      <sheetName val="RECEITAS_DE_TARIFAS"/>
      <sheetName val="SUBSIDIOS_CDE_TARIFAS"/>
      <sheetName val="Garantia"/>
      <sheetName val="1A"/>
      <sheetName val="2B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Mercado_Receita"/>
      <sheetName val="Cotação_Areva_SE's_2008"/>
      <sheetName val="Datos"/>
      <sheetName val="Projeção_Receita"/>
      <sheetName val="Simulação_Mensal"/>
      <sheetName val="GASTOS LE2000"/>
      <sheetName val="SELIC"/>
      <sheetName val="Balancete"/>
      <sheetName val="PARAM"/>
      <sheetName val="Inputs"/>
      <sheetName val="NBASE"/>
      <sheetName val="Empresas e Datas"/>
      <sheetName val="ANALI2000"/>
      <sheetName val="CRITERIOS"/>
      <sheetName val="BancoSegment"/>
      <sheetName val="Critérios"/>
      <sheetName val="SispecPSAP"/>
      <sheetName val="DRE_2007T"/>
      <sheetName val="FORE"/>
      <sheetName val="Encargo Uso R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/>
      <sheetData sheetId="246" refreshError="1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B970-1E67-4116-A3D6-CB56988ABC19}">
  <sheetPr>
    <tabColor rgb="FF00B0F0"/>
  </sheetPr>
  <dimension ref="A1:Y37"/>
  <sheetViews>
    <sheetView showGridLines="0" zoomScale="70" zoomScaleNormal="70" workbookViewId="0">
      <selection activeCell="H18" sqref="H18"/>
    </sheetView>
  </sheetViews>
  <sheetFormatPr defaultColWidth="0" defaultRowHeight="0" customHeight="1" zeroHeight="1" x14ac:dyDescent="0.35"/>
  <cols>
    <col min="1" max="1" width="2" style="1" customWidth="1"/>
    <col min="2" max="2" width="48.81640625" style="1" customWidth="1"/>
    <col min="3" max="5" width="12.81640625" style="1" customWidth="1"/>
    <col min="6" max="7" width="11.81640625" style="1" bestFit="1" customWidth="1"/>
    <col min="8" max="8" width="14.81640625" style="1" customWidth="1"/>
    <col min="9" max="9" width="6.81640625" style="1" bestFit="1" customWidth="1"/>
    <col min="10" max="12" width="11.36328125" style="1" customWidth="1"/>
    <col min="13" max="13" width="12.453125" style="1" customWidth="1"/>
    <col min="14" max="14" width="3.1796875" style="1" customWidth="1"/>
    <col min="15" max="15" width="44.1796875" style="1" bestFit="1" customWidth="1"/>
    <col min="16" max="16" width="10.81640625" style="1" customWidth="1"/>
    <col min="17" max="17" width="14.453125" style="1" bestFit="1" customWidth="1"/>
    <col min="18" max="18" width="10.81640625" style="1" customWidth="1"/>
    <col min="19" max="19" width="5.08984375" style="1" customWidth="1"/>
    <col min="20" max="20" width="10.81640625" style="2" customWidth="1"/>
    <col min="21" max="23" width="8.81640625" style="1" customWidth="1"/>
    <col min="24" max="25" width="0" style="1" hidden="1" customWidth="1"/>
    <col min="26" max="16384" width="8.81640625" style="1" hidden="1"/>
  </cols>
  <sheetData>
    <row r="1" spans="1:22" ht="3.5" customHeight="1" thickBot="1" x14ac:dyDescent="0.4"/>
    <row r="2" spans="1:22" s="9" customFormat="1" ht="15.5" x14ac:dyDescent="0.35">
      <c r="A2" s="3"/>
      <c r="B2" s="4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s="9" customFormat="1" ht="15.5" x14ac:dyDescent="0.35">
      <c r="A3" s="3"/>
      <c r="B3" s="10"/>
      <c r="C3" s="11" t="s">
        <v>0</v>
      </c>
      <c r="D3" s="12">
        <v>45291</v>
      </c>
      <c r="E3" s="11"/>
      <c r="F3" s="13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4"/>
    </row>
    <row r="4" spans="1:22" s="9" customFormat="1" ht="15.5" x14ac:dyDescent="0.35">
      <c r="A4" s="3"/>
      <c r="B4" s="10"/>
      <c r="C4" s="11" t="s">
        <v>2</v>
      </c>
      <c r="D4" s="15" t="s">
        <v>403</v>
      </c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/>
    </row>
    <row r="5" spans="1:22" s="9" customFormat="1" ht="16" thickBot="1" x14ac:dyDescent="0.4">
      <c r="A5" s="3"/>
      <c r="B5" s="17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1:22" ht="15.5" x14ac:dyDescent="0.35">
      <c r="M6" s="21"/>
      <c r="O6" s="406" t="s">
        <v>3</v>
      </c>
      <c r="P6" s="406"/>
      <c r="Q6" s="406"/>
      <c r="R6" s="406"/>
      <c r="S6" s="406"/>
      <c r="T6" s="406"/>
    </row>
    <row r="7" spans="1:22" ht="15" customHeight="1" x14ac:dyDescent="0.35"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3"/>
      <c r="O7" s="22"/>
      <c r="P7" s="23"/>
      <c r="Q7" s="23"/>
      <c r="R7" s="23"/>
      <c r="S7" s="23"/>
      <c r="T7" s="25"/>
      <c r="U7" s="23"/>
    </row>
    <row r="8" spans="1:22" ht="15" customHeight="1" thickBot="1" x14ac:dyDescent="0.4">
      <c r="M8" s="26"/>
    </row>
    <row r="9" spans="1:22" ht="20.399999999999999" customHeight="1" thickBot="1" x14ac:dyDescent="0.4">
      <c r="B9" s="27" t="s">
        <v>5</v>
      </c>
      <c r="C9" s="407" t="s">
        <v>6</v>
      </c>
      <c r="D9" s="408"/>
      <c r="E9" s="408"/>
      <c r="F9" s="408"/>
      <c r="G9" s="408"/>
      <c r="H9" s="408"/>
      <c r="K9" s="30"/>
      <c r="M9" s="26"/>
      <c r="O9" s="27" t="str">
        <f t="shared" ref="O9:O36" si="0">B9</f>
        <v xml:space="preserve">Receita Operacional </v>
      </c>
      <c r="P9" s="31" t="s">
        <v>6</v>
      </c>
      <c r="Q9" s="32"/>
      <c r="R9" s="32"/>
    </row>
    <row r="10" spans="1:22" ht="16" thickBot="1" x14ac:dyDescent="0.4">
      <c r="B10" s="33" t="s">
        <v>7</v>
      </c>
      <c r="C10" s="29" t="s">
        <v>403</v>
      </c>
      <c r="D10" s="34" t="s">
        <v>404</v>
      </c>
      <c r="E10" s="29" t="s">
        <v>8</v>
      </c>
      <c r="F10" s="29" t="s">
        <v>405</v>
      </c>
      <c r="G10" s="29" t="s">
        <v>406</v>
      </c>
      <c r="H10" s="29" t="s">
        <v>8</v>
      </c>
      <c r="J10" s="29" t="s">
        <v>9</v>
      </c>
      <c r="K10" s="29" t="s">
        <v>10</v>
      </c>
      <c r="L10" s="29" t="s">
        <v>11</v>
      </c>
      <c r="M10" s="26"/>
      <c r="O10" s="33" t="str">
        <f t="shared" si="0"/>
        <v xml:space="preserve"> (R$ Milhões) </v>
      </c>
      <c r="P10" s="29" t="s">
        <v>403</v>
      </c>
      <c r="Q10" s="34" t="s">
        <v>407</v>
      </c>
      <c r="R10" s="29" t="s">
        <v>8</v>
      </c>
      <c r="T10" s="34" t="s">
        <v>10</v>
      </c>
    </row>
    <row r="11" spans="1:22" ht="18" customHeight="1" thickBot="1" x14ac:dyDescent="0.4">
      <c r="B11" s="35" t="s">
        <v>12</v>
      </c>
      <c r="C11" s="36">
        <f>SUM(C12:C13,C16,C19,C22,C25,C29,C30)</f>
        <v>1257.9085843405933</v>
      </c>
      <c r="D11" s="37">
        <f>SUM(D12:D13,D16,D19,D22,D25,D29,D30)</f>
        <v>1062.8561105211675</v>
      </c>
      <c r="E11" s="38">
        <f t="shared" ref="E11:E36" si="1">IF(OR(AND(D11&gt;0,C11&lt;0),AND(D11&lt;0,C11&gt;0)),"n.a",IFERROR(C11/D11-1,"N.A."))</f>
        <v>0.18351729071189382</v>
      </c>
      <c r="F11" s="37">
        <f>SUM(F12:F13,F16,F19,F22,F25,F29,F30)</f>
        <v>4539.8512899026591</v>
      </c>
      <c r="G11" s="37">
        <f>SUM(G12:G13,G16,G19,G22,G25,G29,G30)</f>
        <v>3883.3880394959829</v>
      </c>
      <c r="H11" s="38">
        <f t="shared" ref="H11:H36" si="2">IF(OR(AND(G11&gt;0,F11&lt;0),AND(G11&lt;0,F11&gt;0)),"n.a",IFERROR(F11/G11-1,"N.A."))</f>
        <v>0.16904394918306376</v>
      </c>
      <c r="J11" s="38">
        <f t="shared" ref="J11:J35" si="3">C11/$C$32</f>
        <v>0.98880835452243976</v>
      </c>
      <c r="K11" s="37">
        <f t="shared" ref="K11:K35" si="4">C11-D11</f>
        <v>195.05247381942581</v>
      </c>
      <c r="L11" s="37">
        <f t="shared" ref="L11:L35" si="5">F11-G11</f>
        <v>656.46325040667625</v>
      </c>
      <c r="M11" s="26"/>
      <c r="O11" s="35" t="str">
        <f t="shared" si="0"/>
        <v xml:space="preserve">Receita de Uso da Rede Elétrica </v>
      </c>
      <c r="P11" s="36">
        <f t="shared" ref="P11:P36" si="6">C11</f>
        <v>1257.9085843405933</v>
      </c>
      <c r="Q11" s="37">
        <v>1239.2457516438453</v>
      </c>
      <c r="R11" s="38">
        <f>IFERROR(P11/Q11-1,"N.A.")</f>
        <v>1.5059831895321674E-2</v>
      </c>
      <c r="T11" s="37">
        <f t="shared" ref="T11:T36" si="7">P11-Q11</f>
        <v>18.662832696747955</v>
      </c>
    </row>
    <row r="12" spans="1:22" ht="18" customHeight="1" thickBot="1" x14ac:dyDescent="0.4">
      <c r="B12" s="39" t="s">
        <v>13</v>
      </c>
      <c r="C12" s="40">
        <v>646.23039560999996</v>
      </c>
      <c r="D12" s="40">
        <v>418.59870910247685</v>
      </c>
      <c r="E12" s="41">
        <f t="shared" si="1"/>
        <v>0.54379452577766263</v>
      </c>
      <c r="F12" s="40">
        <v>2129.9021872274798</v>
      </c>
      <c r="G12" s="40">
        <v>1482.6897947286848</v>
      </c>
      <c r="H12" s="41">
        <f t="shared" si="2"/>
        <v>0.43651234047727927</v>
      </c>
      <c r="J12" s="41">
        <f t="shared" si="3"/>
        <v>0.50798446093797645</v>
      </c>
      <c r="K12" s="40">
        <f t="shared" si="4"/>
        <v>227.63168650752311</v>
      </c>
      <c r="L12" s="40">
        <f t="shared" si="5"/>
        <v>647.212392498795</v>
      </c>
      <c r="M12" s="26"/>
      <c r="O12" s="39" t="str">
        <f t="shared" si="0"/>
        <v xml:space="preserve">RBSE </v>
      </c>
      <c r="P12" s="40">
        <f t="shared" si="6"/>
        <v>646.23039560999996</v>
      </c>
      <c r="Q12" s="40">
        <v>646.80638119879131</v>
      </c>
      <c r="R12" s="41">
        <f t="shared" ref="R12:R19" si="8">IFERROR(P12/Q12-1,"N.A.")</f>
        <v>-8.9050696705217369E-4</v>
      </c>
      <c r="T12" s="40">
        <f t="shared" si="7"/>
        <v>-0.57598558879135453</v>
      </c>
    </row>
    <row r="13" spans="1:22" ht="18" customHeight="1" x14ac:dyDescent="0.35">
      <c r="B13" s="42" t="s">
        <v>14</v>
      </c>
      <c r="C13" s="43">
        <f>SUM(C14:C15)</f>
        <v>235.18931739550999</v>
      </c>
      <c r="D13" s="43">
        <f>SUM(D14:D15)</f>
        <v>226.19341512892819</v>
      </c>
      <c r="E13" s="44">
        <f t="shared" si="1"/>
        <v>3.9770840638549076E-2</v>
      </c>
      <c r="F13" s="43">
        <f>SUM(F14:F15)</f>
        <v>929.10239023969336</v>
      </c>
      <c r="G13" s="43">
        <f>SUM(G14:G15)</f>
        <v>883.76409140916826</v>
      </c>
      <c r="H13" s="44">
        <f t="shared" si="2"/>
        <v>5.1301358893449667E-2</v>
      </c>
      <c r="J13" s="44">
        <f t="shared" si="3"/>
        <v>0.18487604332314703</v>
      </c>
      <c r="K13" s="43">
        <f t="shared" si="4"/>
        <v>8.995902266581794</v>
      </c>
      <c r="L13" s="43">
        <f t="shared" si="5"/>
        <v>45.338298830525105</v>
      </c>
      <c r="M13" s="26"/>
      <c r="O13" s="42" t="str">
        <f t="shared" si="0"/>
        <v xml:space="preserve">Contrato 059 </v>
      </c>
      <c r="P13" s="43">
        <f t="shared" si="6"/>
        <v>235.18931739550999</v>
      </c>
      <c r="Q13" s="43">
        <v>234.96289866259841</v>
      </c>
      <c r="R13" s="44">
        <f t="shared" si="8"/>
        <v>9.6363610680816336E-4</v>
      </c>
      <c r="T13" s="43">
        <f t="shared" si="7"/>
        <v>0.22641873291158277</v>
      </c>
    </row>
    <row r="14" spans="1:22" s="45" customFormat="1" ht="18" customHeight="1" x14ac:dyDescent="0.35">
      <c r="B14" s="46" t="s">
        <v>15</v>
      </c>
      <c r="C14" s="47">
        <v>0</v>
      </c>
      <c r="D14" s="48">
        <v>0</v>
      </c>
      <c r="E14" s="49" t="str">
        <f t="shared" si="1"/>
        <v>N.A.</v>
      </c>
      <c r="F14" s="47">
        <v>0</v>
      </c>
      <c r="G14" s="48">
        <v>0</v>
      </c>
      <c r="H14" s="50" t="str">
        <f t="shared" si="2"/>
        <v>N.A.</v>
      </c>
      <c r="J14" s="49">
        <f t="shared" si="3"/>
        <v>0</v>
      </c>
      <c r="K14" s="47">
        <f t="shared" si="4"/>
        <v>0</v>
      </c>
      <c r="L14" s="47">
        <f t="shared" si="5"/>
        <v>0</v>
      </c>
      <c r="M14" s="26"/>
      <c r="N14" s="1"/>
      <c r="O14" s="46" t="str">
        <f t="shared" si="0"/>
        <v xml:space="preserve"> CAAE </v>
      </c>
      <c r="P14" s="47">
        <f t="shared" si="6"/>
        <v>0</v>
      </c>
      <c r="Q14" s="48">
        <v>0</v>
      </c>
      <c r="R14" s="49" t="str">
        <f t="shared" si="8"/>
        <v>N.A.</v>
      </c>
      <c r="S14" s="1"/>
      <c r="T14" s="48">
        <f t="shared" si="7"/>
        <v>0</v>
      </c>
      <c r="U14" s="1"/>
      <c r="V14" s="1"/>
    </row>
    <row r="15" spans="1:22" s="45" customFormat="1" ht="18" customHeight="1" thickBot="1" x14ac:dyDescent="0.4">
      <c r="B15" s="46" t="s">
        <v>16</v>
      </c>
      <c r="C15" s="47">
        <v>235.18931739550999</v>
      </c>
      <c r="D15" s="48">
        <v>226.19341512892819</v>
      </c>
      <c r="E15" s="49">
        <f t="shared" si="1"/>
        <v>3.9770840638549076E-2</v>
      </c>
      <c r="F15" s="47">
        <v>929.10239023969336</v>
      </c>
      <c r="G15" s="48">
        <v>883.76409140916826</v>
      </c>
      <c r="H15" s="50">
        <f t="shared" si="2"/>
        <v>5.1301358893449667E-2</v>
      </c>
      <c r="J15" s="49">
        <f t="shared" si="3"/>
        <v>0.18487604332314703</v>
      </c>
      <c r="K15" s="47">
        <f t="shared" si="4"/>
        <v>8.995902266581794</v>
      </c>
      <c r="L15" s="47">
        <f t="shared" si="5"/>
        <v>45.338298830525105</v>
      </c>
      <c r="M15" s="26"/>
      <c r="N15" s="1"/>
      <c r="O15" s="46" t="str">
        <f t="shared" si="0"/>
        <v xml:space="preserve"> O&amp;M </v>
      </c>
      <c r="P15" s="47">
        <f t="shared" si="6"/>
        <v>235.18931739550999</v>
      </c>
      <c r="Q15" s="48">
        <v>234.96289866259841</v>
      </c>
      <c r="R15" s="49">
        <f t="shared" si="8"/>
        <v>9.6363610680816336E-4</v>
      </c>
      <c r="S15" s="1"/>
      <c r="T15" s="48">
        <f t="shared" si="7"/>
        <v>0.22641873291158277</v>
      </c>
      <c r="U15" s="1"/>
      <c r="V15" s="1"/>
    </row>
    <row r="16" spans="1:22" ht="18" customHeight="1" x14ac:dyDescent="0.35">
      <c r="B16" s="42" t="s">
        <v>17</v>
      </c>
      <c r="C16" s="43">
        <f>SUM(C17:C18)</f>
        <v>156.30928658502469</v>
      </c>
      <c r="D16" s="43">
        <f>SUM(D17:D18)</f>
        <v>144.8635685501466</v>
      </c>
      <c r="E16" s="44">
        <f t="shared" si="1"/>
        <v>7.9010327782419676E-2</v>
      </c>
      <c r="F16" s="43">
        <f>SUM(F17:F18)</f>
        <v>609.40166999868404</v>
      </c>
      <c r="G16" s="43">
        <f>SUM(G17:G18)</f>
        <v>530.41163440421781</v>
      </c>
      <c r="H16" s="44">
        <f t="shared" si="2"/>
        <v>0.14892213984557756</v>
      </c>
      <c r="I16" s="30"/>
      <c r="J16" s="44">
        <f t="shared" si="3"/>
        <v>0.1228705570411036</v>
      </c>
      <c r="K16" s="43">
        <f t="shared" si="4"/>
        <v>11.445718034878098</v>
      </c>
      <c r="L16" s="43">
        <f t="shared" si="5"/>
        <v>78.990035594466235</v>
      </c>
      <c r="M16" s="26"/>
      <c r="O16" s="42" t="str">
        <f t="shared" si="0"/>
        <v xml:space="preserve">Reforços e Melhorias (Contrato 059) </v>
      </c>
      <c r="P16" s="43">
        <f t="shared" si="6"/>
        <v>156.30928658502469</v>
      </c>
      <c r="Q16" s="43">
        <v>152.48436247420369</v>
      </c>
      <c r="R16" s="44">
        <f t="shared" si="8"/>
        <v>2.508404172570855E-2</v>
      </c>
      <c r="T16" s="43">
        <f t="shared" si="7"/>
        <v>3.8249241108210015</v>
      </c>
    </row>
    <row r="17" spans="2:20" ht="18" customHeight="1" x14ac:dyDescent="0.35">
      <c r="B17" s="46" t="s">
        <v>15</v>
      </c>
      <c r="C17" s="47">
        <v>133.80294181753484</v>
      </c>
      <c r="D17" s="48">
        <v>122.31592217118569</v>
      </c>
      <c r="E17" s="49">
        <f t="shared" si="1"/>
        <v>9.391270933863094E-2</v>
      </c>
      <c r="F17" s="47">
        <v>518.95359957959579</v>
      </c>
      <c r="G17" s="48">
        <v>453.79301353060885</v>
      </c>
      <c r="H17" s="49">
        <f t="shared" si="2"/>
        <v>0.14359098555093075</v>
      </c>
      <c r="J17" s="49">
        <f t="shared" si="3"/>
        <v>0.10517892029349181</v>
      </c>
      <c r="K17" s="47">
        <f t="shared" si="4"/>
        <v>11.487019646349154</v>
      </c>
      <c r="L17" s="47">
        <f t="shared" si="5"/>
        <v>65.160586048986943</v>
      </c>
      <c r="M17" s="26"/>
      <c r="O17" s="46" t="str">
        <f t="shared" si="0"/>
        <v xml:space="preserve"> CAAE </v>
      </c>
      <c r="P17" s="47">
        <f t="shared" si="6"/>
        <v>133.80294181753484</v>
      </c>
      <c r="Q17" s="48">
        <v>129.9685544658586</v>
      </c>
      <c r="R17" s="49">
        <f t="shared" si="8"/>
        <v>2.950242362419675E-2</v>
      </c>
      <c r="T17" s="48">
        <f t="shared" si="7"/>
        <v>3.8343873516762415</v>
      </c>
    </row>
    <row r="18" spans="2:20" ht="18" customHeight="1" thickBot="1" x14ac:dyDescent="0.4">
      <c r="B18" s="46" t="s">
        <v>16</v>
      </c>
      <c r="C18" s="47">
        <v>22.506344767489853</v>
      </c>
      <c r="D18" s="48">
        <v>22.547646378960913</v>
      </c>
      <c r="E18" s="49">
        <f t="shared" si="1"/>
        <v>-1.8317482355763026E-3</v>
      </c>
      <c r="F18" s="47">
        <v>90.448070419088282</v>
      </c>
      <c r="G18" s="48">
        <v>76.61862087360899</v>
      </c>
      <c r="H18" s="50">
        <f t="shared" si="2"/>
        <v>0.18049723928459271</v>
      </c>
      <c r="J18" s="49">
        <f t="shared" si="3"/>
        <v>1.7691636747611789E-2</v>
      </c>
      <c r="K18" s="47">
        <f t="shared" si="4"/>
        <v>-4.1301611471059374E-2</v>
      </c>
      <c r="L18" s="47">
        <f t="shared" si="5"/>
        <v>13.829449545479292</v>
      </c>
      <c r="M18" s="26"/>
      <c r="O18" s="46" t="str">
        <f t="shared" si="0"/>
        <v xml:space="preserve"> O&amp;M </v>
      </c>
      <c r="P18" s="47">
        <f t="shared" si="6"/>
        <v>22.506344767489853</v>
      </c>
      <c r="Q18" s="48">
        <v>22.515808008345083</v>
      </c>
      <c r="R18" s="49">
        <f t="shared" si="8"/>
        <v>-4.202931936407861E-4</v>
      </c>
      <c r="T18" s="48">
        <f t="shared" si="7"/>
        <v>-9.4632408552293157E-3</v>
      </c>
    </row>
    <row r="19" spans="2:20" ht="18" customHeight="1" x14ac:dyDescent="0.35">
      <c r="B19" s="42" t="s">
        <v>18</v>
      </c>
      <c r="C19" s="43">
        <f>SUM(C20:C21)</f>
        <v>59.118514193158937</v>
      </c>
      <c r="D19" s="43">
        <f>SUM(D20:D21)</f>
        <v>56.867745859504147</v>
      </c>
      <c r="E19" s="44">
        <f t="shared" si="1"/>
        <v>3.9578996839710667E-2</v>
      </c>
      <c r="F19" s="43">
        <f>SUM(F20:F21)</f>
        <v>232.02440981630855</v>
      </c>
      <c r="G19" s="43">
        <f>SUM(G20:G21)</f>
        <v>216.54442334743246</v>
      </c>
      <c r="H19" s="44">
        <f t="shared" si="2"/>
        <v>7.1486424030599016E-2</v>
      </c>
      <c r="J19" s="44">
        <f t="shared" si="3"/>
        <v>4.6471485661887427E-2</v>
      </c>
      <c r="K19" s="43">
        <f t="shared" si="4"/>
        <v>2.2507683336547899</v>
      </c>
      <c r="L19" s="43">
        <f t="shared" si="5"/>
        <v>15.479986468876092</v>
      </c>
      <c r="M19" s="26"/>
      <c r="O19" s="42" t="str">
        <f t="shared" si="0"/>
        <v>PBTE (Contrato 012/2016)</v>
      </c>
      <c r="P19" s="43">
        <f t="shared" si="6"/>
        <v>59.118514193158937</v>
      </c>
      <c r="Q19" s="43">
        <v>59.173062966593129</v>
      </c>
      <c r="R19" s="44">
        <f t="shared" si="8"/>
        <v>-9.2185144218392967E-4</v>
      </c>
      <c r="T19" s="43">
        <f t="shared" si="7"/>
        <v>-5.4548773434191844E-2</v>
      </c>
    </row>
    <row r="20" spans="2:20" ht="18" customHeight="1" x14ac:dyDescent="0.35">
      <c r="B20" s="46" t="s">
        <v>15</v>
      </c>
      <c r="C20" s="47">
        <v>55.090027794860596</v>
      </c>
      <c r="D20" s="47">
        <v>52.991809681391899</v>
      </c>
      <c r="E20" s="49">
        <f t="shared" si="1"/>
        <v>3.9595139816587244E-2</v>
      </c>
      <c r="F20" s="47">
        <v>216.21556466348738</v>
      </c>
      <c r="G20" s="47">
        <v>201.78374535425519</v>
      </c>
      <c r="H20" s="49">
        <f t="shared" si="2"/>
        <v>7.1521218341425108E-2</v>
      </c>
      <c r="J20" s="49">
        <f t="shared" si="3"/>
        <v>4.3304800056664733E-2</v>
      </c>
      <c r="K20" s="47">
        <f t="shared" si="4"/>
        <v>2.0982181134686968</v>
      </c>
      <c r="L20" s="47">
        <f t="shared" si="5"/>
        <v>14.431819309232196</v>
      </c>
      <c r="M20" s="26"/>
      <c r="O20" s="46" t="str">
        <f t="shared" si="0"/>
        <v xml:space="preserve"> CAAE </v>
      </c>
      <c r="P20" s="47">
        <f t="shared" si="6"/>
        <v>55.090027794860596</v>
      </c>
      <c r="Q20" s="47">
        <v>55.144576568294788</v>
      </c>
      <c r="R20" s="49">
        <f>IFERROR(P20/Q20-1,"N.A.")</f>
        <v>-9.8919561684607249E-4</v>
      </c>
      <c r="T20" s="47">
        <f t="shared" si="7"/>
        <v>-5.4548773434191844E-2</v>
      </c>
    </row>
    <row r="21" spans="2:20" ht="18" customHeight="1" thickBot="1" x14ac:dyDescent="0.4">
      <c r="B21" s="46" t="s">
        <v>16</v>
      </c>
      <c r="C21" s="47">
        <v>4.028486398298341</v>
      </c>
      <c r="D21" s="47">
        <v>3.8759361781122466</v>
      </c>
      <c r="E21" s="49">
        <f t="shared" si="1"/>
        <v>3.9358290017146969E-2</v>
      </c>
      <c r="F21" s="47">
        <v>15.808845152821174</v>
      </c>
      <c r="G21" s="47">
        <v>14.760677993177277</v>
      </c>
      <c r="H21" s="49">
        <f t="shared" si="2"/>
        <v>7.1010773362062629E-2</v>
      </c>
      <c r="J21" s="49">
        <f t="shared" si="3"/>
        <v>3.166685605222693E-3</v>
      </c>
      <c r="K21" s="47">
        <f t="shared" si="4"/>
        <v>0.15255022018609443</v>
      </c>
      <c r="L21" s="47">
        <f t="shared" si="5"/>
        <v>1.0481671596438975</v>
      </c>
      <c r="M21" s="26"/>
      <c r="O21" s="46" t="str">
        <f t="shared" si="0"/>
        <v xml:space="preserve"> O&amp;M </v>
      </c>
      <c r="P21" s="47">
        <f t="shared" si="6"/>
        <v>4.028486398298341</v>
      </c>
      <c r="Q21" s="47">
        <v>4.028486398298341</v>
      </c>
      <c r="R21" s="49">
        <f>IFERROR(P21/Q21-1,"N.A.")</f>
        <v>0</v>
      </c>
      <c r="T21" s="47">
        <f t="shared" si="7"/>
        <v>0</v>
      </c>
    </row>
    <row r="22" spans="2:20" ht="18" customHeight="1" x14ac:dyDescent="0.35">
      <c r="B22" s="42" t="s">
        <v>19</v>
      </c>
      <c r="C22" s="43">
        <f>SUM(C23:C24)</f>
        <v>147.38883777944386</v>
      </c>
      <c r="D22" s="43">
        <f>SUM(D23:D24)</f>
        <v>139.96830579937918</v>
      </c>
      <c r="E22" s="44">
        <f t="shared" si="1"/>
        <v>5.3015801953770536E-2</v>
      </c>
      <c r="F22" s="43">
        <f>SUM(F23:F24)</f>
        <v>593.08857313952103</v>
      </c>
      <c r="G22" s="43">
        <f>SUM(G23:G24)</f>
        <v>484.09537045288573</v>
      </c>
      <c r="H22" s="44">
        <f t="shared" si="2"/>
        <v>0.22514820289371684</v>
      </c>
      <c r="J22" s="44">
        <f t="shared" si="3"/>
        <v>0.11585843039306749</v>
      </c>
      <c r="K22" s="43">
        <f t="shared" si="4"/>
        <v>7.4205319800646805</v>
      </c>
      <c r="L22" s="43">
        <f t="shared" si="5"/>
        <v>108.9932026866353</v>
      </c>
      <c r="M22" s="26"/>
      <c r="O22" s="42" t="str">
        <f t="shared" si="0"/>
        <v>Contratos Licitados</v>
      </c>
      <c r="P22" s="43">
        <f t="shared" si="6"/>
        <v>147.38883777944386</v>
      </c>
      <c r="Q22" s="43">
        <v>157.00740643117291</v>
      </c>
      <c r="R22" s="44">
        <f t="shared" ref="R22:R25" si="9">IFERROR(P22/Q22-1,"N.A.")</f>
        <v>-6.1261878470335263E-2</v>
      </c>
      <c r="T22" s="43">
        <f t="shared" si="7"/>
        <v>-9.6185686517290492</v>
      </c>
    </row>
    <row r="23" spans="2:20" ht="18" customHeight="1" x14ac:dyDescent="0.35">
      <c r="B23" s="46" t="s">
        <v>15</v>
      </c>
      <c r="C23" s="47">
        <v>116.79184680119644</v>
      </c>
      <c r="D23" s="47">
        <v>113.27222068478005</v>
      </c>
      <c r="E23" s="49">
        <f t="shared" si="1"/>
        <v>3.1072279638720834E-2</v>
      </c>
      <c r="F23" s="47">
        <v>478.27353232641201</v>
      </c>
      <c r="G23" s="47">
        <v>394.74113368309372</v>
      </c>
      <c r="H23" s="49">
        <f t="shared" si="2"/>
        <v>0.21161310923928145</v>
      </c>
      <c r="J23" s="49">
        <f t="shared" si="3"/>
        <v>9.1806952663150837E-2</v>
      </c>
      <c r="K23" s="47">
        <f t="shared" si="4"/>
        <v>3.51962611641639</v>
      </c>
      <c r="L23" s="47">
        <f t="shared" si="5"/>
        <v>83.532398643318288</v>
      </c>
      <c r="M23" s="26"/>
      <c r="O23" s="46" t="str">
        <f t="shared" si="0"/>
        <v xml:space="preserve"> CAAE </v>
      </c>
      <c r="P23" s="47">
        <f t="shared" si="6"/>
        <v>116.79184680119644</v>
      </c>
      <c r="Q23" s="47">
        <v>127.52935696497438</v>
      </c>
      <c r="R23" s="49">
        <f t="shared" si="9"/>
        <v>-8.4196379714570169E-2</v>
      </c>
      <c r="T23" s="47">
        <f t="shared" si="7"/>
        <v>-10.737510163777941</v>
      </c>
    </row>
    <row r="24" spans="2:20" ht="18" customHeight="1" thickBot="1" x14ac:dyDescent="0.4">
      <c r="B24" s="46" t="s">
        <v>16</v>
      </c>
      <c r="C24" s="47">
        <v>30.596990978247419</v>
      </c>
      <c r="D24" s="47">
        <v>26.696085114599118</v>
      </c>
      <c r="E24" s="49">
        <f t="shared" si="1"/>
        <v>0.14612276844723704</v>
      </c>
      <c r="F24" s="47">
        <v>114.81504081310905</v>
      </c>
      <c r="G24" s="47">
        <v>89.354236769792038</v>
      </c>
      <c r="H24" s="49">
        <f t="shared" si="2"/>
        <v>0.28494232577816092</v>
      </c>
      <c r="J24" s="49">
        <f t="shared" si="3"/>
        <v>2.4051477729916653E-2</v>
      </c>
      <c r="K24" s="47">
        <f t="shared" si="4"/>
        <v>3.9009058636483012</v>
      </c>
      <c r="L24" s="47">
        <f t="shared" si="5"/>
        <v>25.460804043317012</v>
      </c>
      <c r="M24" s="26"/>
      <c r="O24" s="46" t="str">
        <f t="shared" si="0"/>
        <v xml:space="preserve"> O&amp;M </v>
      </c>
      <c r="P24" s="47">
        <f t="shared" si="6"/>
        <v>30.596990978247419</v>
      </c>
      <c r="Q24" s="47">
        <v>29.478049466198541</v>
      </c>
      <c r="R24" s="49">
        <f t="shared" si="9"/>
        <v>3.7958465105770722E-2</v>
      </c>
      <c r="T24" s="47">
        <f t="shared" si="7"/>
        <v>1.1189415120488775</v>
      </c>
    </row>
    <row r="25" spans="2:20" ht="18" customHeight="1" x14ac:dyDescent="0.35">
      <c r="B25" s="42" t="s">
        <v>20</v>
      </c>
      <c r="C25" s="43">
        <f>SUM(C26:C28)</f>
        <v>-14.215823572701819</v>
      </c>
      <c r="D25" s="43">
        <f>SUM(D26:D28)</f>
        <v>-6.746006649667823</v>
      </c>
      <c r="E25" s="44">
        <f t="shared" si="1"/>
        <v>1.1072946279117311</v>
      </c>
      <c r="F25" s="43">
        <f>SUM(F26:F28)</f>
        <v>-58.175838219174437</v>
      </c>
      <c r="G25" s="43">
        <f>SUM(G26:G28)</f>
        <v>24.801885245862579</v>
      </c>
      <c r="H25" s="44" t="str">
        <f t="shared" si="2"/>
        <v>n.a</v>
      </c>
      <c r="J25" s="44">
        <f t="shared" si="3"/>
        <v>-1.1174679376620405E-2</v>
      </c>
      <c r="K25" s="43">
        <f t="shared" si="4"/>
        <v>-7.4698169230339957</v>
      </c>
      <c r="L25" s="43">
        <f t="shared" si="5"/>
        <v>-82.977723465037016</v>
      </c>
      <c r="M25" s="26"/>
      <c r="O25" s="42" t="str">
        <f t="shared" si="0"/>
        <v>Parcela de Ajuste (PA) e Antecipações</v>
      </c>
      <c r="P25" s="43">
        <f t="shared" si="6"/>
        <v>-14.215823572701819</v>
      </c>
      <c r="Q25" s="43">
        <v>-24.032408421283115</v>
      </c>
      <c r="R25" s="44">
        <f t="shared" si="9"/>
        <v>-0.40847278710059387</v>
      </c>
      <c r="T25" s="43">
        <f t="shared" si="7"/>
        <v>9.8165848485812965</v>
      </c>
    </row>
    <row r="26" spans="2:20" ht="18" customHeight="1" x14ac:dyDescent="0.35">
      <c r="B26" s="51" t="s">
        <v>21</v>
      </c>
      <c r="C26" s="47">
        <v>-22.924908989999999</v>
      </c>
      <c r="D26" s="47">
        <v>-15.28327266</v>
      </c>
      <c r="E26" s="49">
        <f t="shared" si="1"/>
        <v>0.5</v>
      </c>
      <c r="F26" s="47">
        <v>-81.893840240000003</v>
      </c>
      <c r="G26" s="47">
        <v>-84.472876997651341</v>
      </c>
      <c r="H26" s="49">
        <f t="shared" si="2"/>
        <v>-3.0530944953171657E-2</v>
      </c>
      <c r="J26" s="49">
        <f t="shared" si="3"/>
        <v>-1.8020658908104621E-2</v>
      </c>
      <c r="K26" s="47">
        <f t="shared" si="4"/>
        <v>-7.641636329999999</v>
      </c>
      <c r="L26" s="47">
        <f t="shared" si="5"/>
        <v>2.5790367576513376</v>
      </c>
      <c r="M26" s="26"/>
      <c r="O26" s="51" t="str">
        <f t="shared" si="0"/>
        <v>PA RBSE</v>
      </c>
      <c r="P26" s="47">
        <f t="shared" si="6"/>
        <v>-22.924908989999999</v>
      </c>
      <c r="Q26" s="47">
        <v>-22.924908989999999</v>
      </c>
      <c r="R26" s="49">
        <f>IFERROR(P26/Q26-1,"N.A.")</f>
        <v>0</v>
      </c>
      <c r="T26" s="47">
        <f t="shared" si="7"/>
        <v>0</v>
      </c>
    </row>
    <row r="27" spans="2:20" ht="18" customHeight="1" x14ac:dyDescent="0.35">
      <c r="B27" s="51" t="s">
        <v>22</v>
      </c>
      <c r="C27" s="47">
        <v>15.152011789904666</v>
      </c>
      <c r="D27" s="47">
        <v>7.8240394985099968</v>
      </c>
      <c r="E27" s="49">
        <f t="shared" si="1"/>
        <v>0.93659704718901304</v>
      </c>
      <c r="F27" s="47">
        <v>39.404638204774315</v>
      </c>
      <c r="G27" s="47">
        <v>54.940807728237118</v>
      </c>
      <c r="H27" s="49">
        <f t="shared" si="2"/>
        <v>-0.2827801440472435</v>
      </c>
      <c r="J27" s="49">
        <f t="shared" si="3"/>
        <v>1.1910591939822213E-2</v>
      </c>
      <c r="K27" s="47">
        <f t="shared" si="4"/>
        <v>7.3279722913946692</v>
      </c>
      <c r="L27" s="47">
        <f t="shared" si="5"/>
        <v>-15.536169523462803</v>
      </c>
      <c r="M27" s="26"/>
      <c r="O27" s="51" t="str">
        <f t="shared" si="0"/>
        <v>Antecipação</v>
      </c>
      <c r="P27" s="47">
        <f t="shared" si="6"/>
        <v>15.152011789904666</v>
      </c>
      <c r="Q27" s="47">
        <v>3.3657956198980248</v>
      </c>
      <c r="R27" s="49">
        <f>IFERROR(P27/Q27-1,"N.A.")</f>
        <v>3.5017622877421575</v>
      </c>
      <c r="T27" s="47">
        <f t="shared" si="7"/>
        <v>11.786216170006641</v>
      </c>
    </row>
    <row r="28" spans="2:20" ht="18" customHeight="1" thickBot="1" x14ac:dyDescent="0.4">
      <c r="B28" s="51" t="s">
        <v>23</v>
      </c>
      <c r="C28" s="47">
        <v>-6.442926372606486</v>
      </c>
      <c r="D28" s="47">
        <v>0.71322651182217989</v>
      </c>
      <c r="E28" s="49" t="str">
        <f t="shared" si="1"/>
        <v>n.a</v>
      </c>
      <c r="F28" s="47">
        <v>-15.68663618394875</v>
      </c>
      <c r="G28" s="47">
        <v>54.333954515276801</v>
      </c>
      <c r="H28" s="49" t="str">
        <f t="shared" si="2"/>
        <v>n.a</v>
      </c>
      <c r="J28" s="49">
        <f t="shared" si="3"/>
        <v>-5.0646124083379958E-3</v>
      </c>
      <c r="K28" s="47">
        <f t="shared" si="4"/>
        <v>-7.1561528844286659</v>
      </c>
      <c r="L28" s="47">
        <f t="shared" si="5"/>
        <v>-70.020590699225551</v>
      </c>
      <c r="M28" s="26"/>
      <c r="O28" s="51" t="str">
        <f t="shared" si="0"/>
        <v>Outras PAs</v>
      </c>
      <c r="P28" s="47">
        <f t="shared" si="6"/>
        <v>-6.442926372606486</v>
      </c>
      <c r="Q28" s="47">
        <v>-4.4732950511811396</v>
      </c>
      <c r="R28" s="49">
        <f>IFERROR(P28/Q28-1,"N.A.")</f>
        <v>0.44030883250262698</v>
      </c>
      <c r="T28" s="47">
        <f t="shared" si="7"/>
        <v>-1.9696313214253465</v>
      </c>
    </row>
    <row r="29" spans="2:20" ht="18" customHeight="1" thickBot="1" x14ac:dyDescent="0.4">
      <c r="B29" s="39" t="s">
        <v>24</v>
      </c>
      <c r="C29" s="40">
        <v>-19.837460809842138</v>
      </c>
      <c r="D29" s="40">
        <v>0.77336718455912612</v>
      </c>
      <c r="E29" s="41" t="str">
        <f t="shared" si="1"/>
        <v>n.a</v>
      </c>
      <c r="F29" s="40">
        <v>-59.095191179853046</v>
      </c>
      <c r="G29" s="40">
        <v>-29.293656912268453</v>
      </c>
      <c r="H29" s="41">
        <f t="shared" si="2"/>
        <v>1.0173374514775393</v>
      </c>
      <c r="J29" s="41">
        <f t="shared" si="3"/>
        <v>-1.5593698322335545E-2</v>
      </c>
      <c r="K29" s="40">
        <f t="shared" si="4"/>
        <v>-20.610827994401266</v>
      </c>
      <c r="L29" s="40">
        <f t="shared" si="5"/>
        <v>-29.801534267584593</v>
      </c>
      <c r="M29" s="26"/>
      <c r="O29" s="39" t="str">
        <f t="shared" si="0"/>
        <v>Parcela Variável (PV)</v>
      </c>
      <c r="P29" s="40">
        <f t="shared" si="6"/>
        <v>-19.837460809842138</v>
      </c>
      <c r="Q29" s="40">
        <v>-11.823627958230844</v>
      </c>
      <c r="R29" s="41">
        <f>IFERROR(P29/Q29-1,"N.A.")</f>
        <v>0.67778120894209826</v>
      </c>
      <c r="T29" s="40">
        <f t="shared" si="7"/>
        <v>-8.0138328516112942</v>
      </c>
    </row>
    <row r="30" spans="2:20" ht="18" customHeight="1" thickBot="1" x14ac:dyDescent="0.4">
      <c r="B30" s="39" t="s">
        <v>25</v>
      </c>
      <c r="C30" s="40">
        <v>47.725517160000003</v>
      </c>
      <c r="D30" s="40">
        <v>82.337005545841251</v>
      </c>
      <c r="E30" s="41">
        <f t="shared" si="1"/>
        <v>-0.42036370106478127</v>
      </c>
      <c r="F30" s="40">
        <v>163.60308888</v>
      </c>
      <c r="G30" s="40">
        <v>290.37449681999993</v>
      </c>
      <c r="H30" s="41">
        <f t="shared" si="2"/>
        <v>-0.43657900169719166</v>
      </c>
      <c r="J30" s="41">
        <f t="shared" si="3"/>
        <v>3.7515754864213928E-2</v>
      </c>
      <c r="K30" s="40">
        <f t="shared" si="4"/>
        <v>-34.611488385841248</v>
      </c>
      <c r="L30" s="40">
        <f t="shared" si="5"/>
        <v>-126.77140793999993</v>
      </c>
      <c r="M30" s="26"/>
      <c r="O30" s="39" t="str">
        <f t="shared" si="0"/>
        <v xml:space="preserve">Encargos Regulatórios </v>
      </c>
      <c r="P30" s="40">
        <f t="shared" si="6"/>
        <v>47.725517160000003</v>
      </c>
      <c r="Q30" s="40">
        <v>24.667676289999996</v>
      </c>
      <c r="R30" s="41">
        <f t="shared" ref="R30:R36" si="10">IFERROR(P30/Q30-1,"N.A.")</f>
        <v>0.93473907306572701</v>
      </c>
      <c r="T30" s="40">
        <f t="shared" si="7"/>
        <v>23.057840870000007</v>
      </c>
    </row>
    <row r="31" spans="2:20" ht="18" customHeight="1" thickBot="1" x14ac:dyDescent="0.4">
      <c r="B31" s="52" t="s">
        <v>26</v>
      </c>
      <c r="C31" s="53">
        <v>14.237406929999992</v>
      </c>
      <c r="D31" s="53">
        <v>9.5181809200000025</v>
      </c>
      <c r="E31" s="54">
        <f t="shared" si="1"/>
        <v>0.49581175748443207</v>
      </c>
      <c r="F31" s="53">
        <v>47.458110479999988</v>
      </c>
      <c r="G31" s="53">
        <v>33.00382010320736</v>
      </c>
      <c r="H31" s="54">
        <f t="shared" si="2"/>
        <v>0.43795810095898369</v>
      </c>
      <c r="J31" s="54">
        <f t="shared" si="3"/>
        <v>1.1191645477560293E-2</v>
      </c>
      <c r="K31" s="53">
        <f t="shared" si="4"/>
        <v>4.7192260099999892</v>
      </c>
      <c r="L31" s="53">
        <f t="shared" si="5"/>
        <v>14.454290376792628</v>
      </c>
      <c r="M31" s="26"/>
      <c r="O31" s="52" t="str">
        <f t="shared" si="0"/>
        <v xml:space="preserve">Outras </v>
      </c>
      <c r="P31" s="53">
        <f t="shared" si="6"/>
        <v>14.237406929999992</v>
      </c>
      <c r="Q31" s="53">
        <v>12.465746679999999</v>
      </c>
      <c r="R31" s="54">
        <f t="shared" si="10"/>
        <v>0.14212227277507883</v>
      </c>
      <c r="T31" s="53">
        <f t="shared" si="7"/>
        <v>1.7716602499999929</v>
      </c>
    </row>
    <row r="32" spans="2:20" ht="18" customHeight="1" thickBot="1" x14ac:dyDescent="0.4">
      <c r="B32" s="55" t="s">
        <v>27</v>
      </c>
      <c r="C32" s="56">
        <f>C11+C31</f>
        <v>1272.1459912705932</v>
      </c>
      <c r="D32" s="56">
        <f>D11+D31</f>
        <v>1072.3742914411675</v>
      </c>
      <c r="E32" s="57">
        <f t="shared" si="1"/>
        <v>0.1862891542848828</v>
      </c>
      <c r="F32" s="56">
        <f>F11+F31</f>
        <v>4587.3094003826591</v>
      </c>
      <c r="G32" s="56">
        <f>G11+G31</f>
        <v>3916.3918595991904</v>
      </c>
      <c r="H32" s="57">
        <f t="shared" si="2"/>
        <v>0.17131011523758288</v>
      </c>
      <c r="J32" s="57">
        <f t="shared" si="3"/>
        <v>1</v>
      </c>
      <c r="K32" s="56">
        <f>K11+K31</f>
        <v>199.77169982942581</v>
      </c>
      <c r="L32" s="56">
        <f>L11+L31</f>
        <v>670.91754078346889</v>
      </c>
      <c r="M32" s="26"/>
      <c r="O32" s="55" t="str">
        <f t="shared" si="0"/>
        <v xml:space="preserve">Receita Bruta </v>
      </c>
      <c r="P32" s="56">
        <f t="shared" si="6"/>
        <v>1272.1459912705932</v>
      </c>
      <c r="Q32" s="56">
        <v>1251.7114983238453</v>
      </c>
      <c r="R32" s="57">
        <f t="shared" si="10"/>
        <v>1.6325241858136996E-2</v>
      </c>
      <c r="T32" s="56">
        <f t="shared" si="7"/>
        <v>20.434492946747923</v>
      </c>
    </row>
    <row r="33" spans="2:20" ht="15.5" x14ac:dyDescent="0.35">
      <c r="B33" s="58" t="s">
        <v>28</v>
      </c>
      <c r="C33" s="59">
        <v>-162.54873197999999</v>
      </c>
      <c r="D33" s="59">
        <v>-181.18080179</v>
      </c>
      <c r="E33" s="60">
        <f t="shared" si="1"/>
        <v>-0.10283688793692258</v>
      </c>
      <c r="F33" s="59">
        <v>-601.92380335999997</v>
      </c>
      <c r="G33" s="59">
        <v>-657.64123671999994</v>
      </c>
      <c r="H33" s="60">
        <f t="shared" si="2"/>
        <v>-8.4723144244865045E-2</v>
      </c>
      <c r="J33" s="60">
        <f t="shared" si="3"/>
        <v>-0.12777521848545831</v>
      </c>
      <c r="K33" s="59">
        <f t="shared" si="4"/>
        <v>18.632069810000019</v>
      </c>
      <c r="L33" s="59">
        <f t="shared" si="5"/>
        <v>55.717433359999973</v>
      </c>
      <c r="M33" s="26"/>
      <c r="O33" s="58" t="str">
        <f t="shared" si="0"/>
        <v xml:space="preserve">Deduções </v>
      </c>
      <c r="P33" s="59">
        <f t="shared" si="6"/>
        <v>-162.54873197999999</v>
      </c>
      <c r="Q33" s="59">
        <v>-159.25644633000002</v>
      </c>
      <c r="R33" s="60">
        <f t="shared" si="10"/>
        <v>2.0672856426658726E-2</v>
      </c>
      <c r="T33" s="59">
        <f t="shared" si="7"/>
        <v>-3.2922856499999682</v>
      </c>
    </row>
    <row r="34" spans="2:20" ht="15.5" x14ac:dyDescent="0.35">
      <c r="B34" s="51" t="s">
        <v>29</v>
      </c>
      <c r="C34" s="47">
        <f>'DRE Reg'!C15/1000</f>
        <v>-113.83199999999999</v>
      </c>
      <c r="D34" s="47">
        <f>'DRE Reg'!D15/1000</f>
        <v>-93.653000000000006</v>
      </c>
      <c r="E34" s="49">
        <f t="shared" si="1"/>
        <v>0.21546560174260287</v>
      </c>
      <c r="F34" s="47">
        <f>'DRE Reg'!F15/1000</f>
        <v>-400.36200000000002</v>
      </c>
      <c r="G34" s="48">
        <f>'DRE Reg'!G15/1000</f>
        <v>-338.14400000000001</v>
      </c>
      <c r="H34" s="50">
        <f t="shared" si="2"/>
        <v>0.18399853316930059</v>
      </c>
      <c r="J34" s="49">
        <f t="shared" si="3"/>
        <v>-8.9480296114683305E-2</v>
      </c>
      <c r="K34" s="47">
        <f t="shared" si="4"/>
        <v>-20.178999999999988</v>
      </c>
      <c r="L34" s="47">
        <f t="shared" si="5"/>
        <v>-62.218000000000018</v>
      </c>
      <c r="M34" s="26"/>
      <c r="O34" s="51" t="str">
        <f t="shared" si="0"/>
        <v>Tributos e Contribuições</v>
      </c>
      <c r="P34" s="47">
        <f t="shared" si="6"/>
        <v>-113.83199999999999</v>
      </c>
      <c r="Q34" s="47">
        <v>-93.653000000000006</v>
      </c>
      <c r="R34" s="49">
        <f t="shared" si="10"/>
        <v>0.21546560174260287</v>
      </c>
      <c r="T34" s="48">
        <f t="shared" si="7"/>
        <v>-20.178999999999988</v>
      </c>
    </row>
    <row r="35" spans="2:20" ht="15.5" x14ac:dyDescent="0.35">
      <c r="B35" s="51" t="s">
        <v>30</v>
      </c>
      <c r="C35" s="47">
        <f>'DRE Reg'!C16/1000</f>
        <v>-48.718000000000004</v>
      </c>
      <c r="D35" s="48">
        <f>'DRE Reg'!D16/1000</f>
        <v>-87.531000000000006</v>
      </c>
      <c r="E35" s="49">
        <f t="shared" si="1"/>
        <v>-0.44342004546960501</v>
      </c>
      <c r="F35" s="47">
        <f>'DRE Reg'!F16/1000</f>
        <v>-201.57</v>
      </c>
      <c r="G35" s="48">
        <f>'DRE Reg'!G16/1000</f>
        <v>-319.51100000000002</v>
      </c>
      <c r="H35" s="50">
        <f t="shared" si="2"/>
        <v>-0.36912970132483713</v>
      </c>
      <c r="J35" s="49">
        <f t="shared" si="3"/>
        <v>-3.8295919127443435E-2</v>
      </c>
      <c r="K35" s="47">
        <f t="shared" si="4"/>
        <v>38.813000000000002</v>
      </c>
      <c r="L35" s="47">
        <f t="shared" si="5"/>
        <v>117.94100000000003</v>
      </c>
      <c r="M35" s="26"/>
      <c r="O35" s="51" t="str">
        <f t="shared" si="0"/>
        <v>Encargos Regulatórios</v>
      </c>
      <c r="P35" s="47">
        <f t="shared" si="6"/>
        <v>-48.718000000000004</v>
      </c>
      <c r="Q35" s="48">
        <v>-87.531000000000006</v>
      </c>
      <c r="R35" s="49">
        <f t="shared" si="10"/>
        <v>-0.44342004546960501</v>
      </c>
      <c r="T35" s="48">
        <f t="shared" si="7"/>
        <v>38.813000000000002</v>
      </c>
    </row>
    <row r="36" spans="2:20" ht="18" customHeight="1" thickBot="1" x14ac:dyDescent="0.4">
      <c r="B36" s="61" t="s">
        <v>31</v>
      </c>
      <c r="C36" s="62">
        <f>SUM(C32:C33)</f>
        <v>1109.5972592905932</v>
      </c>
      <c r="D36" s="62">
        <f>SUM(D32:D33)</f>
        <v>891.19348965116751</v>
      </c>
      <c r="E36" s="63">
        <f t="shared" si="1"/>
        <v>0.24506885673605372</v>
      </c>
      <c r="F36" s="62">
        <f>SUM(F32:F33)</f>
        <v>3985.3855970226591</v>
      </c>
      <c r="G36" s="62">
        <f>SUM(G32:G33)</f>
        <v>3258.7506228791904</v>
      </c>
      <c r="H36" s="63">
        <f t="shared" si="2"/>
        <v>0.22297961956397505</v>
      </c>
      <c r="J36" s="63">
        <f>C36/$C$32</f>
        <v>0.87222478151454175</v>
      </c>
      <c r="K36" s="62">
        <f>SUM(K32:K33)</f>
        <v>218.40376963942583</v>
      </c>
      <c r="L36" s="62">
        <f>SUM(L32:L33)</f>
        <v>726.63497414346887</v>
      </c>
      <c r="M36" s="26"/>
      <c r="O36" s="61" t="str">
        <f t="shared" si="0"/>
        <v xml:space="preserve">Receita Líquida </v>
      </c>
      <c r="P36" s="62">
        <f t="shared" si="6"/>
        <v>1109.5972592905932</v>
      </c>
      <c r="Q36" s="62">
        <v>1092.4550519938452</v>
      </c>
      <c r="R36" s="63">
        <f t="shared" si="10"/>
        <v>1.5691453177374859E-2</v>
      </c>
      <c r="T36" s="62">
        <f t="shared" si="7"/>
        <v>17.142207296747983</v>
      </c>
    </row>
    <row r="37" spans="2:20" ht="15" customHeight="1" x14ac:dyDescent="0.35">
      <c r="M37" s="26"/>
      <c r="T37" s="1"/>
    </row>
  </sheetData>
  <mergeCells count="2">
    <mergeCell ref="O6:T6"/>
    <mergeCell ref="C9:H9"/>
  </mergeCells>
  <hyperlinks>
    <hyperlink ref="F3" location="Menu!A1" display="→Menu←" xr:uid="{9392E7E7-B067-4E04-AD5F-2CB3388C9215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73C3-8CFA-4DA8-932D-34F037D8A575}">
  <sheetPr>
    <tabColor theme="9" tint="0.79998168889431442"/>
  </sheetPr>
  <dimension ref="A1:T86"/>
  <sheetViews>
    <sheetView showGridLines="0" zoomScale="70" zoomScaleNormal="70" workbookViewId="0">
      <pane xSplit="2" ySplit="10" topLeftCell="G39" activePane="bottomRight" state="frozen"/>
      <selection activeCell="K14" sqref="K14"/>
      <selection pane="topRight" activeCell="K14" sqref="K14"/>
      <selection pane="bottomLeft" activeCell="K14" sqref="K14"/>
      <selection pane="bottomRight" activeCell="M1" sqref="M1:T1048576"/>
    </sheetView>
  </sheetViews>
  <sheetFormatPr defaultColWidth="0" defaultRowHeight="0" customHeight="1" zeroHeight="1" outlineLevelRow="1" x14ac:dyDescent="0.3"/>
  <cols>
    <col min="1" max="1" width="1.1796875" style="230" customWidth="1"/>
    <col min="2" max="2" width="51.90625" style="230" customWidth="1"/>
    <col min="3" max="4" width="12" style="230" customWidth="1"/>
    <col min="5" max="5" width="11" style="230" customWidth="1"/>
    <col min="6" max="7" width="12" style="230" customWidth="1"/>
    <col min="8" max="8" width="11" style="230" customWidth="1"/>
    <col min="9" max="9" width="7" style="9" customWidth="1"/>
    <col min="10" max="11" width="11.54296875" style="347" bestFit="1" customWidth="1"/>
    <col min="12" max="12" width="6.6328125" style="9" customWidth="1"/>
    <col min="13" max="15" width="10.54296875" style="230" hidden="1" customWidth="1"/>
    <col min="16" max="20" width="0" style="230" hidden="1" customWidth="1"/>
    <col min="21" max="16384" width="10.54296875" style="230" hidden="1"/>
  </cols>
  <sheetData>
    <row r="1" spans="1:15" s="9" customFormat="1" ht="3.5" customHeight="1" x14ac:dyDescent="0.3">
      <c r="C1" s="227"/>
      <c r="D1" s="227"/>
      <c r="E1" s="227"/>
      <c r="F1" s="227"/>
      <c r="G1" s="227"/>
      <c r="H1" s="227"/>
      <c r="I1" s="227"/>
      <c r="J1" s="227"/>
    </row>
    <row r="2" spans="1:15" s="9" customFormat="1" ht="14" hidden="1" x14ac:dyDescent="0.3">
      <c r="A2" s="149"/>
      <c r="B2" s="150"/>
      <c r="C2" s="151"/>
      <c r="D2" s="151"/>
      <c r="E2" s="151"/>
      <c r="F2" s="152"/>
      <c r="G2" s="153"/>
      <c r="H2" s="153"/>
      <c r="I2" s="153"/>
      <c r="J2" s="153"/>
      <c r="K2" s="153"/>
      <c r="L2" s="153"/>
      <c r="M2" s="153"/>
      <c r="N2" s="153"/>
      <c r="O2" s="154"/>
    </row>
    <row r="3" spans="1:15" s="9" customFormat="1" ht="14" hidden="1" x14ac:dyDescent="0.3">
      <c r="A3" s="149"/>
      <c r="B3" s="155"/>
      <c r="C3" s="156" t="s">
        <v>0</v>
      </c>
      <c r="D3" s="157">
        <v>45291</v>
      </c>
      <c r="E3" s="156"/>
      <c r="F3" s="158" t="s">
        <v>1</v>
      </c>
      <c r="G3" s="156"/>
      <c r="H3" s="156"/>
      <c r="I3" s="156"/>
      <c r="J3" s="156"/>
      <c r="K3" s="156"/>
      <c r="L3" s="156"/>
      <c r="M3" s="156"/>
      <c r="N3" s="156"/>
      <c r="O3" s="159"/>
    </row>
    <row r="4" spans="1:15" s="9" customFormat="1" ht="14" hidden="1" x14ac:dyDescent="0.3">
      <c r="A4" s="149"/>
      <c r="B4" s="155"/>
      <c r="C4" s="156" t="s">
        <v>2</v>
      </c>
      <c r="D4" s="160" t="s">
        <v>403</v>
      </c>
      <c r="E4" s="161"/>
      <c r="F4" s="156"/>
      <c r="G4" s="156"/>
      <c r="H4" s="156"/>
      <c r="I4" s="156"/>
      <c r="J4" s="156"/>
      <c r="K4" s="156"/>
      <c r="L4" s="156"/>
      <c r="M4" s="156"/>
      <c r="N4" s="156"/>
      <c r="O4" s="159"/>
    </row>
    <row r="5" spans="1:15" s="9" customFormat="1" ht="16" hidden="1" thickBot="1" x14ac:dyDescent="0.4">
      <c r="A5" s="149"/>
      <c r="B5" s="162"/>
      <c r="C5" s="163"/>
      <c r="D5" s="163"/>
      <c r="E5" s="163"/>
      <c r="F5" s="164"/>
      <c r="G5" s="164"/>
      <c r="H5" s="164"/>
      <c r="I5" s="19"/>
      <c r="J5" s="164"/>
      <c r="K5" s="164"/>
      <c r="L5" s="164"/>
      <c r="M5" s="164"/>
      <c r="N5" s="164"/>
      <c r="O5" s="165"/>
    </row>
    <row r="6" spans="1:15" ht="12.5" hidden="1" x14ac:dyDescent="0.25">
      <c r="I6" s="230"/>
      <c r="J6" s="230"/>
      <c r="K6" s="230"/>
      <c r="L6" s="230"/>
    </row>
    <row r="7" spans="1:15" s="9" customFormat="1" ht="15" customHeight="1" thickBot="1" x14ac:dyDescent="0.35">
      <c r="B7" s="228" t="s">
        <v>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5" ht="14.5" hidden="1" thickBot="1" x14ac:dyDescent="0.35"/>
    <row r="9" spans="1:15" ht="15" customHeight="1" thickBot="1" x14ac:dyDescent="0.35">
      <c r="B9" s="27" t="s">
        <v>106</v>
      </c>
      <c r="C9" s="407" t="s">
        <v>34</v>
      </c>
      <c r="D9" s="408"/>
      <c r="E9" s="408"/>
      <c r="F9" s="408"/>
      <c r="G9" s="408"/>
      <c r="H9" s="408"/>
    </row>
    <row r="10" spans="1:15" ht="15" customHeight="1" thickBot="1" x14ac:dyDescent="0.35">
      <c r="B10" s="72" t="s">
        <v>36</v>
      </c>
      <c r="C10" s="28" t="s">
        <v>403</v>
      </c>
      <c r="D10" s="73" t="s">
        <v>404</v>
      </c>
      <c r="E10" s="28" t="s">
        <v>8</v>
      </c>
      <c r="F10" s="28" t="s">
        <v>405</v>
      </c>
      <c r="G10" s="28" t="s">
        <v>406</v>
      </c>
      <c r="H10" s="28" t="s">
        <v>8</v>
      </c>
      <c r="J10" s="28" t="s">
        <v>10</v>
      </c>
      <c r="K10" s="28" t="s">
        <v>11</v>
      </c>
    </row>
    <row r="11" spans="1:15" ht="15" customHeight="1" thickBot="1" x14ac:dyDescent="0.35">
      <c r="B11" s="348" t="s">
        <v>69</v>
      </c>
      <c r="C11" s="349">
        <f>SUM(C12:C16)</f>
        <v>1896.0155587051515</v>
      </c>
      <c r="D11" s="349">
        <f>SUM(D12:D16)</f>
        <v>1437.6349290500002</v>
      </c>
      <c r="E11" s="178">
        <f>IFERROR(C11/D11-1,"N.A.")</f>
        <v>0.3188435536677261</v>
      </c>
      <c r="F11" s="349">
        <f>SUM(F12:F16)</f>
        <v>7016.6030000000001</v>
      </c>
      <c r="G11" s="349">
        <f t="shared" ref="G11" si="0">SUM(G12:G16)</f>
        <v>6265.0597232399996</v>
      </c>
      <c r="H11" s="178">
        <f>IFERROR(F11/G11-1,"N.A.")</f>
        <v>0.1199578790880762</v>
      </c>
      <c r="J11" s="177">
        <f t="shared" ref="J11:J42" si="1">C11-D11</f>
        <v>458.38062965515132</v>
      </c>
      <c r="K11" s="177">
        <f t="shared" ref="K11:K42" si="2">F11-G11</f>
        <v>751.54327676000048</v>
      </c>
    </row>
    <row r="12" spans="1:15" s="350" customFormat="1" ht="15" customHeight="1" outlineLevel="1" x14ac:dyDescent="0.3">
      <c r="B12" s="351" t="s">
        <v>319</v>
      </c>
      <c r="C12" s="352">
        <v>862.56100000000004</v>
      </c>
      <c r="D12" s="352">
        <v>511.03800000000001</v>
      </c>
      <c r="E12" s="184">
        <f t="shared" ref="E12:E42" si="3">IFERROR(C12/D12-1,"N.A.")</f>
        <v>0.68786078530363692</v>
      </c>
      <c r="F12" s="352">
        <v>2575.0279999999998</v>
      </c>
      <c r="G12" s="352">
        <v>1950.337</v>
      </c>
      <c r="H12" s="184">
        <f t="shared" ref="H12:H42" si="4">IFERROR(F12/G12-1,"N.A.")</f>
        <v>0.32029900473610451</v>
      </c>
      <c r="I12" s="9"/>
      <c r="J12" s="183">
        <f t="shared" si="1"/>
        <v>351.52300000000002</v>
      </c>
      <c r="K12" s="183">
        <f t="shared" si="2"/>
        <v>624.6909999999998</v>
      </c>
      <c r="L12" s="353"/>
    </row>
    <row r="13" spans="1:15" s="350" customFormat="1" ht="15" customHeight="1" outlineLevel="1" x14ac:dyDescent="0.3">
      <c r="B13" s="351" t="s">
        <v>320</v>
      </c>
      <c r="C13" s="352">
        <v>339.03399999999999</v>
      </c>
      <c r="D13" s="352">
        <v>374.82100000000003</v>
      </c>
      <c r="E13" s="184">
        <f t="shared" si="3"/>
        <v>-9.5477574628956341E-2</v>
      </c>
      <c r="F13" s="352">
        <v>1333.173</v>
      </c>
      <c r="G13" s="352">
        <v>1432.4829999999999</v>
      </c>
      <c r="H13" s="184">
        <f t="shared" si="4"/>
        <v>-6.9327175261416629E-2</v>
      </c>
      <c r="I13" s="9"/>
      <c r="J13" s="183">
        <f t="shared" si="1"/>
        <v>-35.787000000000035</v>
      </c>
      <c r="K13" s="183">
        <f t="shared" si="2"/>
        <v>-99.309999999999945</v>
      </c>
      <c r="L13" s="353"/>
    </row>
    <row r="14" spans="1:15" s="350" customFormat="1" ht="15" customHeight="1" outlineLevel="1" x14ac:dyDescent="0.3">
      <c r="B14" s="351" t="s">
        <v>321</v>
      </c>
      <c r="C14" s="352">
        <v>-7.7498692200000079</v>
      </c>
      <c r="D14" s="352">
        <v>-54.372</v>
      </c>
      <c r="E14" s="184">
        <f t="shared" si="3"/>
        <v>-0.85746580556168606</v>
      </c>
      <c r="F14" s="352">
        <v>46.761000000000003</v>
      </c>
      <c r="G14" s="352">
        <v>24.018999999999998</v>
      </c>
      <c r="H14" s="184">
        <f t="shared" si="4"/>
        <v>0.94683375660935121</v>
      </c>
      <c r="I14" s="9"/>
      <c r="J14" s="183">
        <f t="shared" si="1"/>
        <v>46.622130779999992</v>
      </c>
      <c r="K14" s="183">
        <f t="shared" si="2"/>
        <v>22.742000000000004</v>
      </c>
      <c r="L14" s="353"/>
    </row>
    <row r="15" spans="1:15" s="350" customFormat="1" ht="15" customHeight="1" outlineLevel="1" x14ac:dyDescent="0.3">
      <c r="B15" s="351" t="s">
        <v>322</v>
      </c>
      <c r="C15" s="352">
        <v>691.97136359515139</v>
      </c>
      <c r="D15" s="352">
        <v>598.82500000000005</v>
      </c>
      <c r="E15" s="184">
        <f t="shared" si="3"/>
        <v>0.15554855524594213</v>
      </c>
      <c r="F15" s="352">
        <v>3025.127</v>
      </c>
      <c r="G15" s="352">
        <v>2834.2530000000002</v>
      </c>
      <c r="H15" s="184">
        <f t="shared" si="4"/>
        <v>6.7345434581880914E-2</v>
      </c>
      <c r="I15" s="9"/>
      <c r="J15" s="183">
        <f t="shared" si="1"/>
        <v>93.146363595151342</v>
      </c>
      <c r="K15" s="183">
        <f t="shared" si="2"/>
        <v>190.8739999999998</v>
      </c>
      <c r="L15" s="353"/>
    </row>
    <row r="16" spans="1:15" s="350" customFormat="1" ht="15" customHeight="1" outlineLevel="1" thickBot="1" x14ac:dyDescent="0.35">
      <c r="B16" s="351" t="s">
        <v>323</v>
      </c>
      <c r="C16" s="352">
        <v>10.199064329999997</v>
      </c>
      <c r="D16" s="352">
        <v>7.3229290500000026</v>
      </c>
      <c r="E16" s="184">
        <f t="shared" si="3"/>
        <v>0.39275749640097812</v>
      </c>
      <c r="F16" s="352">
        <v>36.514000000000003</v>
      </c>
      <c r="G16" s="352">
        <v>23.967723240000005</v>
      </c>
      <c r="H16" s="184">
        <f t="shared" si="4"/>
        <v>0.52346552212608066</v>
      </c>
      <c r="I16" s="9"/>
      <c r="J16" s="183">
        <f t="shared" si="1"/>
        <v>2.8761352799999944</v>
      </c>
      <c r="K16" s="183">
        <f t="shared" si="2"/>
        <v>12.546276759999998</v>
      </c>
      <c r="L16" s="353"/>
    </row>
    <row r="17" spans="2:12" s="350" customFormat="1" ht="15" customHeight="1" thickBot="1" x14ac:dyDescent="0.35">
      <c r="B17" s="354" t="s">
        <v>324</v>
      </c>
      <c r="C17" s="355">
        <v>-208.023</v>
      </c>
      <c r="D17" s="356">
        <v>-205.84700000000001</v>
      </c>
      <c r="E17" s="189">
        <f t="shared" si="3"/>
        <v>1.0570958041652201E-2</v>
      </c>
      <c r="F17" s="356">
        <v>-801.08217366999997</v>
      </c>
      <c r="G17" s="356">
        <v>-814.49017366999988</v>
      </c>
      <c r="H17" s="189">
        <f t="shared" si="4"/>
        <v>-1.6461831503239654E-2</v>
      </c>
      <c r="I17" s="9"/>
      <c r="J17" s="188">
        <f t="shared" si="1"/>
        <v>-2.1759999999999877</v>
      </c>
      <c r="K17" s="188">
        <f t="shared" si="2"/>
        <v>13.407999999999902</v>
      </c>
      <c r="L17" s="353"/>
    </row>
    <row r="18" spans="2:12" ht="15" customHeight="1" thickBot="1" x14ac:dyDescent="0.35">
      <c r="B18" s="348" t="s">
        <v>73</v>
      </c>
      <c r="C18" s="357">
        <f>(SUM(C17,C11))</f>
        <v>1687.9925587051516</v>
      </c>
      <c r="D18" s="349">
        <f>(SUM(D17,D11))</f>
        <v>1231.7879290500002</v>
      </c>
      <c r="E18" s="178">
        <f t="shared" si="3"/>
        <v>0.37035971768857401</v>
      </c>
      <c r="F18" s="349">
        <f>(SUM(F17,F11))</f>
        <v>6215.5208263300001</v>
      </c>
      <c r="G18" s="349">
        <f t="shared" ref="G18" si="5">(SUM(G17,G11))</f>
        <v>5450.5695495700002</v>
      </c>
      <c r="H18" s="178">
        <f t="shared" si="4"/>
        <v>0.14034336591858509</v>
      </c>
      <c r="J18" s="177">
        <f t="shared" si="1"/>
        <v>456.20462965515139</v>
      </c>
      <c r="K18" s="177">
        <f t="shared" si="2"/>
        <v>764.95127675999993</v>
      </c>
      <c r="L18" s="353"/>
    </row>
    <row r="19" spans="2:12" s="350" customFormat="1" ht="15" customHeight="1" thickBot="1" x14ac:dyDescent="0.35">
      <c r="B19" s="358" t="s">
        <v>325</v>
      </c>
      <c r="C19" s="359">
        <f>((SUM(C20:C24)))</f>
        <v>-872.07946591999985</v>
      </c>
      <c r="D19" s="360">
        <f>((SUM(D20:D24)))</f>
        <v>-708.1566100199999</v>
      </c>
      <c r="E19" s="192">
        <f t="shared" si="3"/>
        <v>0.23147825435869396</v>
      </c>
      <c r="F19" s="360">
        <f t="shared" ref="F19:G19" si="6">((SUM(F20:F24)))</f>
        <v>-2757.3573476699999</v>
      </c>
      <c r="G19" s="360">
        <f t="shared" si="6"/>
        <v>-2463.4661249700002</v>
      </c>
      <c r="H19" s="192">
        <f t="shared" si="4"/>
        <v>0.11929988389979518</v>
      </c>
      <c r="I19" s="9"/>
      <c r="J19" s="191">
        <f t="shared" si="1"/>
        <v>-163.92285589999994</v>
      </c>
      <c r="K19" s="191">
        <f t="shared" si="2"/>
        <v>-293.89122269999962</v>
      </c>
      <c r="L19" s="353"/>
    </row>
    <row r="20" spans="2:12" s="350" customFormat="1" ht="15" customHeight="1" outlineLevel="1" x14ac:dyDescent="0.3">
      <c r="B20" s="351" t="s">
        <v>39</v>
      </c>
      <c r="C20" s="352">
        <v>-120.29038824999999</v>
      </c>
      <c r="D20" s="352">
        <v>-133.35499999999999</v>
      </c>
      <c r="E20" s="184">
        <f t="shared" si="3"/>
        <v>-9.7968668216414811E-2</v>
      </c>
      <c r="F20" s="352">
        <v>-456.47721331999998</v>
      </c>
      <c r="G20" s="352">
        <v>-447.49526792999995</v>
      </c>
      <c r="H20" s="184">
        <f t="shared" si="4"/>
        <v>2.0071598592647177E-2</v>
      </c>
      <c r="I20" s="9"/>
      <c r="J20" s="183">
        <f t="shared" si="1"/>
        <v>13.064611749999997</v>
      </c>
      <c r="K20" s="183">
        <f t="shared" si="2"/>
        <v>-8.9819453900000212</v>
      </c>
      <c r="L20" s="353"/>
    </row>
    <row r="21" spans="2:12" s="350" customFormat="1" ht="15" customHeight="1" outlineLevel="1" x14ac:dyDescent="0.3">
      <c r="B21" s="351" t="s">
        <v>50</v>
      </c>
      <c r="C21" s="352">
        <v>-268.88</v>
      </c>
      <c r="D21" s="352">
        <v>-223.398</v>
      </c>
      <c r="E21" s="184">
        <f t="shared" si="3"/>
        <v>0.20359179580837794</v>
      </c>
      <c r="F21" s="352">
        <v>-1028.6479999999999</v>
      </c>
      <c r="G21" s="352">
        <v>-977.21400000000006</v>
      </c>
      <c r="H21" s="184">
        <f t="shared" si="4"/>
        <v>5.2633302429150541E-2</v>
      </c>
      <c r="I21" s="9"/>
      <c r="J21" s="183">
        <f t="shared" si="1"/>
        <v>-45.481999999999999</v>
      </c>
      <c r="K21" s="183">
        <f t="shared" si="2"/>
        <v>-51.433999999999855</v>
      </c>
      <c r="L21" s="353"/>
    </row>
    <row r="22" spans="2:12" s="350" customFormat="1" ht="15" customHeight="1" outlineLevel="1" x14ac:dyDescent="0.3">
      <c r="B22" s="351" t="s">
        <v>113</v>
      </c>
      <c r="C22" s="352">
        <v>-414.94706432999999</v>
      </c>
      <c r="D22" s="352">
        <v>-266.59892904999998</v>
      </c>
      <c r="E22" s="184">
        <f t="shared" si="3"/>
        <v>0.55644685373877723</v>
      </c>
      <c r="F22" s="352">
        <v>-1088.6569999999999</v>
      </c>
      <c r="G22" s="352">
        <v>-797.80572323999991</v>
      </c>
      <c r="H22" s="184">
        <f t="shared" si="4"/>
        <v>0.36456403894774358</v>
      </c>
      <c r="I22" s="9"/>
      <c r="J22" s="183">
        <f t="shared" si="1"/>
        <v>-148.34813528000001</v>
      </c>
      <c r="K22" s="183">
        <f t="shared" si="2"/>
        <v>-290.85127676000002</v>
      </c>
      <c r="L22" s="353"/>
    </row>
    <row r="23" spans="2:12" s="350" customFormat="1" ht="15" customHeight="1" outlineLevel="1" x14ac:dyDescent="0.3">
      <c r="B23" s="351" t="s">
        <v>326</v>
      </c>
      <c r="C23" s="352">
        <v>-5.7880000000000003</v>
      </c>
      <c r="D23" s="352">
        <v>-7.23</v>
      </c>
      <c r="E23" s="184">
        <f t="shared" si="3"/>
        <v>-0.19944674965421849</v>
      </c>
      <c r="F23" s="352">
        <v>-24.887</v>
      </c>
      <c r="G23" s="352">
        <v>-27.498000000000001</v>
      </c>
      <c r="H23" s="184">
        <f t="shared" si="4"/>
        <v>-9.4952360171648875E-2</v>
      </c>
      <c r="I23" s="9"/>
      <c r="J23" s="183">
        <f t="shared" si="1"/>
        <v>1.4420000000000002</v>
      </c>
      <c r="K23" s="183">
        <f t="shared" si="2"/>
        <v>2.6110000000000007</v>
      </c>
      <c r="L23" s="353"/>
    </row>
    <row r="24" spans="2:12" s="350" customFormat="1" ht="15" customHeight="1" outlineLevel="1" x14ac:dyDescent="0.3">
      <c r="B24" s="351" t="s">
        <v>42</v>
      </c>
      <c r="C24" s="352">
        <v>-62.174013339999874</v>
      </c>
      <c r="D24" s="352">
        <v>-77.574680969999918</v>
      </c>
      <c r="E24" s="184">
        <f t="shared" si="3"/>
        <v>-0.19852698634952648</v>
      </c>
      <c r="F24" s="352">
        <v>-158.68813434999993</v>
      </c>
      <c r="G24" s="352">
        <v>-213.45313380000016</v>
      </c>
      <c r="H24" s="184">
        <f t="shared" si="4"/>
        <v>-0.25656685603554341</v>
      </c>
      <c r="I24" s="9"/>
      <c r="J24" s="183">
        <f t="shared" si="1"/>
        <v>15.400667630000044</v>
      </c>
      <c r="K24" s="183">
        <f t="shared" si="2"/>
        <v>54.764999450000232</v>
      </c>
      <c r="L24" s="353"/>
    </row>
    <row r="25" spans="2:12" s="350" customFormat="1" ht="15" customHeight="1" thickBot="1" x14ac:dyDescent="0.35">
      <c r="B25" s="358" t="s">
        <v>328</v>
      </c>
      <c r="C25" s="360">
        <v>0</v>
      </c>
      <c r="D25" s="360">
        <v>0</v>
      </c>
      <c r="E25" s="192" t="str">
        <f t="shared" si="3"/>
        <v>N.A.</v>
      </c>
      <c r="F25" s="360">
        <v>-3.6850000000000001</v>
      </c>
      <c r="G25" s="360">
        <v>1.825</v>
      </c>
      <c r="H25" s="192">
        <f t="shared" si="4"/>
        <v>-3.0191780821917811</v>
      </c>
      <c r="I25" s="9"/>
      <c r="J25" s="191">
        <f t="shared" si="1"/>
        <v>0</v>
      </c>
      <c r="K25" s="191">
        <f t="shared" si="2"/>
        <v>-5.51</v>
      </c>
      <c r="L25" s="353"/>
    </row>
    <row r="26" spans="2:12" ht="15" customHeight="1" thickBot="1" x14ac:dyDescent="0.35">
      <c r="B26" s="348" t="s">
        <v>79</v>
      </c>
      <c r="C26" s="357">
        <f>((SUM(C18:C19)+C25))</f>
        <v>815.91309278515178</v>
      </c>
      <c r="D26" s="349">
        <f>((SUM(D18:D19)+D25))</f>
        <v>523.63131903000033</v>
      </c>
      <c r="E26" s="178">
        <f t="shared" si="3"/>
        <v>0.55818237590636888</v>
      </c>
      <c r="F26" s="349">
        <f>((SUM(F18:F19)+F25))</f>
        <v>3454.4784786600003</v>
      </c>
      <c r="G26" s="349">
        <f t="shared" ref="G26" si="7">((SUM(G18:G19)+G25))</f>
        <v>2988.9284245999997</v>
      </c>
      <c r="H26" s="178">
        <f t="shared" si="4"/>
        <v>0.15575818083442527</v>
      </c>
      <c r="J26" s="177">
        <f t="shared" si="1"/>
        <v>292.28177375515145</v>
      </c>
      <c r="K26" s="177">
        <f t="shared" si="2"/>
        <v>465.55005406000055</v>
      </c>
      <c r="L26" s="353"/>
    </row>
    <row r="27" spans="2:12" ht="15" customHeight="1" thickBot="1" x14ac:dyDescent="0.35">
      <c r="B27" s="361" t="s">
        <v>80</v>
      </c>
      <c r="C27" s="362">
        <f>SUM(C28:C32)</f>
        <v>-180.59399999999999</v>
      </c>
      <c r="D27" s="362">
        <f>SUM(D28:D32)</f>
        <v>-155.10947558659092</v>
      </c>
      <c r="E27" s="196">
        <f t="shared" si="3"/>
        <v>0.16430024224524042</v>
      </c>
      <c r="F27" s="362">
        <f>SUM(F28:F32)</f>
        <v>-821.55799999999999</v>
      </c>
      <c r="G27" s="362">
        <f t="shared" ref="G27" si="8">SUM(G28:G32)</f>
        <v>-812.17770938909098</v>
      </c>
      <c r="H27" s="196">
        <f t="shared" si="4"/>
        <v>1.154955436780547E-2</v>
      </c>
      <c r="J27" s="195">
        <f t="shared" si="1"/>
        <v>-25.484524413409076</v>
      </c>
      <c r="K27" s="195">
        <f t="shared" si="2"/>
        <v>-9.3802906109090145</v>
      </c>
      <c r="L27" s="353"/>
    </row>
    <row r="28" spans="2:12" s="350" customFormat="1" ht="15" customHeight="1" outlineLevel="1" x14ac:dyDescent="0.3">
      <c r="B28" s="351" t="s">
        <v>116</v>
      </c>
      <c r="C28" s="352">
        <v>71.988</v>
      </c>
      <c r="D28" s="352">
        <v>46.619524413409117</v>
      </c>
      <c r="E28" s="184">
        <f t="shared" si="3"/>
        <v>0.54415989664824171</v>
      </c>
      <c r="F28" s="352">
        <v>201.571</v>
      </c>
      <c r="G28" s="352">
        <v>147.85829061090911</v>
      </c>
      <c r="H28" s="184">
        <f t="shared" si="4"/>
        <v>0.36327154309146281</v>
      </c>
      <c r="I28" s="9"/>
      <c r="J28" s="183">
        <f t="shared" si="1"/>
        <v>25.368475586590883</v>
      </c>
      <c r="K28" s="183">
        <f t="shared" si="2"/>
        <v>53.71270938909089</v>
      </c>
      <c r="L28" s="353"/>
    </row>
    <row r="29" spans="2:12" s="350" customFormat="1" ht="15" customHeight="1" outlineLevel="1" x14ac:dyDescent="0.3">
      <c r="B29" s="351" t="s">
        <v>117</v>
      </c>
      <c r="C29" s="352">
        <v>-49.945999999999998</v>
      </c>
      <c r="D29" s="352">
        <v>-33.26</v>
      </c>
      <c r="E29" s="184">
        <f t="shared" si="3"/>
        <v>0.50168370414912822</v>
      </c>
      <c r="F29" s="352">
        <v>-246.73436233199408</v>
      </c>
      <c r="G29" s="352">
        <v>-295.66000000000003</v>
      </c>
      <c r="H29" s="184">
        <f t="shared" si="4"/>
        <v>-0.16547939412841084</v>
      </c>
      <c r="I29" s="9"/>
      <c r="J29" s="183">
        <f t="shared" si="1"/>
        <v>-16.686</v>
      </c>
      <c r="K29" s="183">
        <f t="shared" si="2"/>
        <v>48.925637668005947</v>
      </c>
      <c r="L29" s="353"/>
    </row>
    <row r="30" spans="2:12" s="350" customFormat="1" ht="15" customHeight="1" outlineLevel="1" x14ac:dyDescent="0.3">
      <c r="B30" s="351" t="s">
        <v>118</v>
      </c>
      <c r="C30" s="352">
        <v>-8.2000000000000003E-2</v>
      </c>
      <c r="D30" s="352">
        <v>-7.5999999999999998E-2</v>
      </c>
      <c r="E30" s="184">
        <f t="shared" si="3"/>
        <v>7.8947368421052655E-2</v>
      </c>
      <c r="F30" s="352">
        <v>-0.47699999999999998</v>
      </c>
      <c r="G30" s="352">
        <v>-0.23400000000000001</v>
      </c>
      <c r="H30" s="184">
        <f t="shared" si="4"/>
        <v>1.0384615384615383</v>
      </c>
      <c r="I30" s="9"/>
      <c r="J30" s="183">
        <f t="shared" si="1"/>
        <v>-6.0000000000000053E-3</v>
      </c>
      <c r="K30" s="183">
        <f t="shared" si="2"/>
        <v>-0.24299999999999997</v>
      </c>
      <c r="L30" s="353"/>
    </row>
    <row r="31" spans="2:12" s="350" customFormat="1" ht="15" customHeight="1" outlineLevel="1" x14ac:dyDescent="0.3">
      <c r="B31" s="351" t="s">
        <v>119</v>
      </c>
      <c r="C31" s="352">
        <v>-200.77799999999999</v>
      </c>
      <c r="D31" s="352">
        <v>-179.37200000000001</v>
      </c>
      <c r="E31" s="184">
        <f t="shared" si="3"/>
        <v>0.11933858127243924</v>
      </c>
      <c r="F31" s="352">
        <v>-769.52499999999998</v>
      </c>
      <c r="G31" s="352">
        <v>-667.31700000000001</v>
      </c>
      <c r="H31" s="184">
        <f t="shared" si="4"/>
        <v>0.15316258989355869</v>
      </c>
      <c r="I31" s="9"/>
      <c r="J31" s="183">
        <f t="shared" si="1"/>
        <v>-21.405999999999977</v>
      </c>
      <c r="K31" s="183">
        <f t="shared" si="2"/>
        <v>-102.20799999999997</v>
      </c>
      <c r="L31" s="353"/>
    </row>
    <row r="32" spans="2:12" s="350" customFormat="1" ht="15" customHeight="1" outlineLevel="1" thickBot="1" x14ac:dyDescent="0.35">
      <c r="B32" s="351" t="s">
        <v>120</v>
      </c>
      <c r="C32" s="352">
        <v>-1.776</v>
      </c>
      <c r="D32" s="352">
        <v>10.978999999999999</v>
      </c>
      <c r="E32" s="184">
        <f t="shared" si="3"/>
        <v>-1.1617633664268148</v>
      </c>
      <c r="F32" s="352">
        <v>-6.3926376680059089</v>
      </c>
      <c r="G32" s="352">
        <v>3.1749999999999998</v>
      </c>
      <c r="H32" s="184">
        <f t="shared" si="4"/>
        <v>-3.0134291867735148</v>
      </c>
      <c r="I32" s="9"/>
      <c r="J32" s="183">
        <f t="shared" si="1"/>
        <v>-12.754999999999999</v>
      </c>
      <c r="K32" s="183">
        <f t="shared" si="2"/>
        <v>-9.5676376680059079</v>
      </c>
      <c r="L32" s="353"/>
    </row>
    <row r="33" spans="2:12" ht="15" customHeight="1" thickBot="1" x14ac:dyDescent="0.35">
      <c r="B33" s="348" t="s">
        <v>329</v>
      </c>
      <c r="C33" s="357">
        <f>SUM(C26:C27)</f>
        <v>635.31909278515172</v>
      </c>
      <c r="D33" s="349">
        <f>SUM(D26:D27)</f>
        <v>368.52184344340941</v>
      </c>
      <c r="E33" s="178">
        <f t="shared" si="3"/>
        <v>0.72396590348303724</v>
      </c>
      <c r="F33" s="349">
        <f>SUM(F26:F27)</f>
        <v>2632.9204786600003</v>
      </c>
      <c r="G33" s="349">
        <f t="shared" ref="G33" si="9">SUM(G26:G27)</f>
        <v>2176.7507152109088</v>
      </c>
      <c r="H33" s="178">
        <f t="shared" si="4"/>
        <v>0.20956454051510098</v>
      </c>
      <c r="J33" s="177">
        <f t="shared" si="1"/>
        <v>266.79724934174232</v>
      </c>
      <c r="K33" s="177">
        <f t="shared" si="2"/>
        <v>456.16976344909153</v>
      </c>
      <c r="L33" s="353"/>
    </row>
    <row r="34" spans="2:12" s="350" customFormat="1" ht="15" customHeight="1" thickBot="1" x14ac:dyDescent="0.35">
      <c r="B34" s="361" t="s">
        <v>82</v>
      </c>
      <c r="C34" s="362">
        <v>110.49080723599997</v>
      </c>
      <c r="D34" s="362">
        <v>56.298607539999999</v>
      </c>
      <c r="E34" s="196">
        <f t="shared" si="3"/>
        <v>0.96258508094532469</v>
      </c>
      <c r="F34" s="362">
        <v>489.31751599999996</v>
      </c>
      <c r="G34" s="362">
        <v>510.88758200000001</v>
      </c>
      <c r="H34" s="196">
        <f t="shared" si="4"/>
        <v>-4.2220767855735586E-2</v>
      </c>
      <c r="I34" s="9"/>
      <c r="J34" s="195">
        <f t="shared" si="1"/>
        <v>54.192199695999967</v>
      </c>
      <c r="K34" s="195">
        <f t="shared" si="2"/>
        <v>-21.570066000000054</v>
      </c>
      <c r="L34" s="353"/>
    </row>
    <row r="35" spans="2:12" s="350" customFormat="1" ht="15" customHeight="1" thickBot="1" x14ac:dyDescent="0.35">
      <c r="B35" s="361" t="s">
        <v>330</v>
      </c>
      <c r="C35" s="362">
        <v>-12.027090455999991</v>
      </c>
      <c r="D35" s="362">
        <v>-4.2835871609999998</v>
      </c>
      <c r="E35" s="196">
        <f t="shared" si="3"/>
        <v>1.8077146568887086</v>
      </c>
      <c r="F35" s="362">
        <v>-1.2393856300000043</v>
      </c>
      <c r="G35" s="362">
        <v>-9.5045871610000034</v>
      </c>
      <c r="H35" s="196">
        <f t="shared" si="4"/>
        <v>-0.86960131892045212</v>
      </c>
      <c r="I35" s="9"/>
      <c r="J35" s="195">
        <f t="shared" si="1"/>
        <v>-7.7435032949999911</v>
      </c>
      <c r="K35" s="195">
        <f t="shared" si="2"/>
        <v>8.2652015309999989</v>
      </c>
      <c r="L35" s="353"/>
    </row>
    <row r="36" spans="2:12" ht="15" customHeight="1" thickBot="1" x14ac:dyDescent="0.35">
      <c r="B36" s="348" t="s">
        <v>331</v>
      </c>
      <c r="C36" s="357">
        <f>SUM(C33:C35)</f>
        <v>733.78280956515164</v>
      </c>
      <c r="D36" s="349">
        <f>SUM(D33:D35)</f>
        <v>420.53686382240937</v>
      </c>
      <c r="E36" s="178">
        <f t="shared" si="3"/>
        <v>0.74487155036906461</v>
      </c>
      <c r="F36" s="349">
        <f>SUM(F33:F35)</f>
        <v>3120.9986090300004</v>
      </c>
      <c r="G36" s="349">
        <f t="shared" ref="G36" si="10">SUM(G33:G35)</f>
        <v>2678.1337100499086</v>
      </c>
      <c r="H36" s="178">
        <f t="shared" si="4"/>
        <v>0.16536325177425093</v>
      </c>
      <c r="J36" s="177">
        <f t="shared" si="1"/>
        <v>313.24594574274226</v>
      </c>
      <c r="K36" s="177">
        <f t="shared" si="2"/>
        <v>442.86489898009177</v>
      </c>
      <c r="L36" s="353"/>
    </row>
    <row r="37" spans="2:12" s="350" customFormat="1" ht="14.5" customHeight="1" thickBot="1" x14ac:dyDescent="0.35">
      <c r="B37" s="361" t="s">
        <v>332</v>
      </c>
      <c r="C37" s="362">
        <f>SUM(C38:C39)</f>
        <v>304.06863640484846</v>
      </c>
      <c r="D37" s="362">
        <f>SUM(D38:D39)</f>
        <v>139.904</v>
      </c>
      <c r="E37" s="196">
        <f t="shared" si="3"/>
        <v>1.1734091691792119</v>
      </c>
      <c r="F37" s="362">
        <f>SUM(F38:F39)</f>
        <v>-228.63677244999997</v>
      </c>
      <c r="G37" s="362">
        <f t="shared" ref="G37" si="11">SUM(G38:G39)</f>
        <v>-358.34300000000002</v>
      </c>
      <c r="H37" s="196">
        <f t="shared" si="4"/>
        <v>-0.36196110304931317</v>
      </c>
      <c r="I37" s="9"/>
      <c r="J37" s="195">
        <f t="shared" si="1"/>
        <v>164.16463640484847</v>
      </c>
      <c r="K37" s="195">
        <f t="shared" si="2"/>
        <v>129.70622755000005</v>
      </c>
      <c r="L37" s="353"/>
    </row>
    <row r="38" spans="2:12" s="350" customFormat="1" ht="15" customHeight="1" outlineLevel="1" x14ac:dyDescent="0.3">
      <c r="B38" s="351" t="s">
        <v>126</v>
      </c>
      <c r="C38" s="352">
        <v>349.19099999999997</v>
      </c>
      <c r="D38" s="352">
        <v>97.918999999999997</v>
      </c>
      <c r="E38" s="184">
        <f t="shared" si="3"/>
        <v>2.5661209775426626</v>
      </c>
      <c r="F38" s="352">
        <v>-64.532292720000001</v>
      </c>
      <c r="G38" s="352">
        <v>-114.501</v>
      </c>
      <c r="H38" s="184">
        <f t="shared" si="4"/>
        <v>-0.43640411245316635</v>
      </c>
      <c r="I38" s="9"/>
      <c r="J38" s="183">
        <f t="shared" si="1"/>
        <v>251.27199999999999</v>
      </c>
      <c r="K38" s="183">
        <f t="shared" si="2"/>
        <v>49.968707280000004</v>
      </c>
      <c r="L38" s="353"/>
    </row>
    <row r="39" spans="2:12" s="350" customFormat="1" ht="15" customHeight="1" outlineLevel="1" x14ac:dyDescent="0.3">
      <c r="B39" s="351" t="s">
        <v>127</v>
      </c>
      <c r="C39" s="352">
        <v>-45.122363595151519</v>
      </c>
      <c r="D39" s="352">
        <v>41.984999999999999</v>
      </c>
      <c r="E39" s="184">
        <f t="shared" si="3"/>
        <v>-2.0747258210111115</v>
      </c>
      <c r="F39" s="352">
        <v>-164.10447972999998</v>
      </c>
      <c r="G39" s="352">
        <v>-243.84200000000001</v>
      </c>
      <c r="H39" s="184">
        <f t="shared" si="4"/>
        <v>-0.32700486491252545</v>
      </c>
      <c r="I39" s="9"/>
      <c r="J39" s="183">
        <f t="shared" si="1"/>
        <v>-87.107363595151526</v>
      </c>
      <c r="K39" s="183">
        <f t="shared" si="2"/>
        <v>79.737520270000033</v>
      </c>
      <c r="L39" s="353"/>
    </row>
    <row r="40" spans="2:12" ht="16" hidden="1" thickBot="1" x14ac:dyDescent="0.35">
      <c r="B40" s="348" t="s">
        <v>333</v>
      </c>
      <c r="C40" s="357">
        <f>SUM(C36:C37)</f>
        <v>1037.85144597</v>
      </c>
      <c r="D40" s="349">
        <f>SUM(D36:D37)</f>
        <v>560.44086382240937</v>
      </c>
      <c r="E40" s="178">
        <f t="shared" si="3"/>
        <v>0.85184827332446433</v>
      </c>
      <c r="F40" s="349">
        <f>SUM(F36:F37)</f>
        <v>2892.3618365800003</v>
      </c>
      <c r="G40" s="349">
        <f t="shared" ref="G40" si="12">SUM(G36:G37)</f>
        <v>2319.7907100499087</v>
      </c>
      <c r="H40" s="178">
        <f t="shared" si="4"/>
        <v>0.24682016530610773</v>
      </c>
      <c r="J40" s="177">
        <f t="shared" si="1"/>
        <v>477.41058214759062</v>
      </c>
      <c r="K40" s="177">
        <f t="shared" si="2"/>
        <v>572.57112653009153</v>
      </c>
      <c r="L40" s="353"/>
    </row>
    <row r="41" spans="2:12" s="350" customFormat="1" ht="15" customHeight="1" x14ac:dyDescent="0.3">
      <c r="B41" s="81" t="s">
        <v>334</v>
      </c>
      <c r="C41" s="77">
        <v>-16.495999999999999</v>
      </c>
      <c r="D41" s="77">
        <v>-17.912233800000003</v>
      </c>
      <c r="E41" s="363">
        <f t="shared" si="3"/>
        <v>-7.9065169415106884E-2</v>
      </c>
      <c r="F41" s="77">
        <v>-51.244999999999997</v>
      </c>
      <c r="G41" s="77">
        <v>-57.545999999999999</v>
      </c>
      <c r="H41" s="363">
        <f t="shared" si="4"/>
        <v>-0.10949501268550377</v>
      </c>
      <c r="I41" s="9"/>
      <c r="J41" s="212">
        <f t="shared" si="1"/>
        <v>1.4162338000000041</v>
      </c>
      <c r="K41" s="212">
        <f t="shared" si="2"/>
        <v>6.3010000000000019</v>
      </c>
      <c r="L41" s="353"/>
    </row>
    <row r="42" spans="2:12" ht="16.25" customHeight="1" thickBot="1" x14ac:dyDescent="0.35">
      <c r="B42" s="364" t="s">
        <v>335</v>
      </c>
      <c r="C42" s="365">
        <f>SUM(C40:C41)</f>
        <v>1021.35544597</v>
      </c>
      <c r="D42" s="365">
        <f>SUM(D40:D41)</f>
        <v>542.5286300224094</v>
      </c>
      <c r="E42" s="216">
        <f t="shared" si="3"/>
        <v>0.88258349781063616</v>
      </c>
      <c r="F42" s="365">
        <f>SUM(F40:F41)</f>
        <v>2841.1168365800004</v>
      </c>
      <c r="G42" s="365">
        <f t="shared" ref="G42" si="13">SUM(G40:G41)</f>
        <v>2262.2447100499089</v>
      </c>
      <c r="H42" s="216">
        <f t="shared" si="4"/>
        <v>0.25588395630166838</v>
      </c>
      <c r="J42" s="215">
        <f t="shared" si="1"/>
        <v>478.8268159475906</v>
      </c>
      <c r="K42" s="215">
        <f t="shared" si="2"/>
        <v>578.87212653009146</v>
      </c>
      <c r="L42" s="353"/>
    </row>
    <row r="43" spans="2:12" ht="15" customHeight="1" x14ac:dyDescent="0.3">
      <c r="B43" s="230" t="s">
        <v>336</v>
      </c>
      <c r="C43" s="259">
        <f>C37/-C36</f>
        <v>-0.41438506386520985</v>
      </c>
      <c r="D43" s="259">
        <f>D37/-D36</f>
        <v>-0.33267951524715977</v>
      </c>
      <c r="E43" s="259"/>
      <c r="F43" s="259">
        <f>F37/-F36</f>
        <v>7.3257569480641258E-2</v>
      </c>
      <c r="G43" s="259">
        <f t="shared" ref="G43" si="14">G37/-G36</f>
        <v>0.13380325211369754</v>
      </c>
      <c r="J43" s="366"/>
      <c r="K43" s="366"/>
      <c r="L43" s="230"/>
    </row>
    <row r="44" spans="2:12" ht="15" customHeight="1" x14ac:dyDescent="0.3">
      <c r="B44" s="366"/>
      <c r="C44" s="366"/>
      <c r="D44" s="366"/>
      <c r="E44" s="366"/>
      <c r="F44" s="366"/>
      <c r="G44" s="366"/>
      <c r="H44" s="366"/>
      <c r="I44" s="366"/>
      <c r="J44" s="366"/>
      <c r="K44" s="366"/>
    </row>
    <row r="45" spans="2:12" ht="15" customHeight="1" x14ac:dyDescent="0.3">
      <c r="B45" s="366"/>
      <c r="C45" s="366"/>
      <c r="D45" s="366"/>
      <c r="E45" s="366"/>
      <c r="F45" s="366"/>
      <c r="G45" s="366"/>
      <c r="H45" s="366"/>
      <c r="I45" s="366"/>
      <c r="J45" s="366"/>
      <c r="K45" s="366"/>
    </row>
    <row r="46" spans="2:12" ht="15" customHeight="1" x14ac:dyDescent="0.3">
      <c r="B46" s="366"/>
      <c r="C46" s="366"/>
      <c r="D46" s="366"/>
      <c r="E46" s="366"/>
      <c r="F46" s="366"/>
      <c r="G46" s="366"/>
      <c r="H46" s="366"/>
      <c r="I46" s="366"/>
      <c r="J46" s="366"/>
      <c r="K46" s="366"/>
    </row>
    <row r="47" spans="2:12" ht="15" customHeight="1" x14ac:dyDescent="0.3">
      <c r="B47" s="366"/>
      <c r="C47" s="366"/>
      <c r="D47" s="366"/>
      <c r="E47" s="366"/>
      <c r="F47" s="366"/>
      <c r="G47" s="366"/>
      <c r="H47" s="366"/>
      <c r="I47" s="366"/>
      <c r="J47" s="366"/>
      <c r="K47" s="366"/>
    </row>
    <row r="48" spans="2:12" ht="15" customHeight="1" x14ac:dyDescent="0.3">
      <c r="B48" s="366"/>
      <c r="C48" s="366"/>
      <c r="D48" s="366"/>
      <c r="E48" s="366"/>
      <c r="F48" s="366"/>
      <c r="G48" s="366"/>
      <c r="H48" s="366"/>
      <c r="I48" s="366"/>
      <c r="J48" s="366"/>
      <c r="K48" s="366"/>
    </row>
    <row r="49" spans="2:11" ht="15" customHeight="1" x14ac:dyDescent="0.3">
      <c r="B49" s="366"/>
      <c r="C49" s="366"/>
      <c r="D49" s="366"/>
      <c r="E49" s="366"/>
      <c r="F49" s="366"/>
      <c r="G49" s="366"/>
      <c r="H49" s="366"/>
      <c r="I49" s="366"/>
      <c r="J49" s="366"/>
      <c r="K49" s="366"/>
    </row>
    <row r="50" spans="2:11" ht="15" customHeight="1" x14ac:dyDescent="0.3">
      <c r="B50" s="366"/>
      <c r="C50" s="366"/>
      <c r="D50" s="366"/>
      <c r="E50" s="366"/>
      <c r="F50" s="366"/>
      <c r="G50" s="366"/>
      <c r="H50" s="366"/>
      <c r="I50" s="366"/>
      <c r="J50" s="366"/>
      <c r="K50" s="366"/>
    </row>
    <row r="51" spans="2:11" ht="15" customHeight="1" x14ac:dyDescent="0.3">
      <c r="C51" s="346"/>
      <c r="D51" s="346"/>
      <c r="J51" s="366"/>
      <c r="K51" s="366"/>
    </row>
    <row r="52" spans="2:11" ht="15" customHeight="1" x14ac:dyDescent="0.3">
      <c r="C52" s="346"/>
      <c r="D52" s="346"/>
      <c r="J52" s="366"/>
      <c r="K52" s="366"/>
    </row>
    <row r="53" spans="2:11" ht="15" customHeight="1" x14ac:dyDescent="0.3">
      <c r="C53" s="346"/>
      <c r="D53" s="346"/>
      <c r="J53" s="366"/>
      <c r="K53" s="366"/>
    </row>
    <row r="54" spans="2:11" ht="15" hidden="1" customHeight="1" x14ac:dyDescent="0.3">
      <c r="C54" s="346"/>
      <c r="D54" s="346"/>
      <c r="J54" s="366"/>
      <c r="K54" s="366"/>
    </row>
    <row r="55" spans="2:11" ht="15" hidden="1" customHeight="1" x14ac:dyDescent="0.3">
      <c r="C55" s="346"/>
      <c r="D55" s="346"/>
      <c r="J55" s="366"/>
      <c r="K55" s="366"/>
    </row>
    <row r="56" spans="2:11" ht="15" hidden="1" customHeight="1" x14ac:dyDescent="0.3">
      <c r="C56" s="346"/>
      <c r="D56" s="346"/>
      <c r="J56" s="366"/>
      <c r="K56" s="366"/>
    </row>
    <row r="57" spans="2:11" ht="15" hidden="1" customHeight="1" x14ac:dyDescent="0.3">
      <c r="C57" s="346"/>
      <c r="D57" s="346"/>
      <c r="J57" s="366"/>
      <c r="K57" s="366"/>
    </row>
    <row r="58" spans="2:11" ht="15" hidden="1" customHeight="1" x14ac:dyDescent="0.3">
      <c r="C58" s="346"/>
      <c r="D58" s="346"/>
      <c r="J58" s="366"/>
      <c r="K58" s="366"/>
    </row>
    <row r="59" spans="2:11" ht="15" hidden="1" customHeight="1" x14ac:dyDescent="0.3">
      <c r="C59" s="346"/>
      <c r="D59" s="346"/>
      <c r="J59" s="366"/>
      <c r="K59" s="366"/>
    </row>
    <row r="60" spans="2:11" ht="15" hidden="1" customHeight="1" x14ac:dyDescent="0.3">
      <c r="C60" s="346"/>
      <c r="D60" s="346"/>
      <c r="J60" s="366"/>
      <c r="K60" s="366"/>
    </row>
    <row r="61" spans="2:11" ht="15" hidden="1" customHeight="1" x14ac:dyDescent="0.3">
      <c r="C61" s="346"/>
      <c r="D61" s="346"/>
      <c r="J61" s="366"/>
      <c r="K61" s="366"/>
    </row>
    <row r="62" spans="2:11" ht="15" hidden="1" customHeight="1" x14ac:dyDescent="0.3">
      <c r="C62" s="346"/>
      <c r="D62" s="346"/>
      <c r="J62" s="366"/>
      <c r="K62" s="366"/>
    </row>
    <row r="63" spans="2:11" ht="15" hidden="1" customHeight="1" x14ac:dyDescent="0.3">
      <c r="C63" s="346"/>
      <c r="D63" s="346"/>
      <c r="J63" s="366"/>
      <c r="K63" s="366"/>
    </row>
    <row r="64" spans="2:11" ht="15" hidden="1" customHeight="1" x14ac:dyDescent="0.3">
      <c r="C64" s="346"/>
      <c r="D64" s="346"/>
      <c r="J64" s="366"/>
      <c r="K64" s="366"/>
    </row>
    <row r="65" spans="3:11" ht="15" hidden="1" customHeight="1" x14ac:dyDescent="0.3">
      <c r="C65" s="346"/>
      <c r="D65" s="346"/>
      <c r="J65" s="366"/>
      <c r="K65" s="366"/>
    </row>
    <row r="66" spans="3:11" ht="15" hidden="1" customHeight="1" x14ac:dyDescent="0.3">
      <c r="C66" s="346"/>
      <c r="D66" s="346"/>
      <c r="J66" s="366"/>
      <c r="K66" s="366"/>
    </row>
    <row r="67" spans="3:11" ht="15" hidden="1" customHeight="1" x14ac:dyDescent="0.3">
      <c r="C67" s="346"/>
      <c r="D67" s="346"/>
      <c r="J67" s="366"/>
      <c r="K67" s="366"/>
    </row>
    <row r="68" spans="3:11" ht="15" hidden="1" customHeight="1" x14ac:dyDescent="0.3">
      <c r="C68" s="346"/>
      <c r="D68" s="346"/>
      <c r="J68" s="366"/>
      <c r="K68" s="366"/>
    </row>
    <row r="69" spans="3:11" ht="14" hidden="1" x14ac:dyDescent="0.3">
      <c r="C69" s="346"/>
      <c r="D69" s="346"/>
      <c r="J69" s="366"/>
      <c r="K69" s="366"/>
    </row>
    <row r="70" spans="3:11" ht="14.5" hidden="1" customHeight="1" x14ac:dyDescent="0.3">
      <c r="C70" s="346"/>
      <c r="D70" s="346"/>
      <c r="J70" s="366"/>
      <c r="K70" s="366"/>
    </row>
    <row r="71" spans="3:11" ht="14.5" hidden="1" customHeight="1" x14ac:dyDescent="0.3">
      <c r="C71" s="346"/>
      <c r="D71" s="346"/>
      <c r="J71" s="366"/>
      <c r="K71" s="366"/>
    </row>
    <row r="72" spans="3:11" ht="14.5" hidden="1" customHeight="1" x14ac:dyDescent="0.3">
      <c r="C72" s="346"/>
      <c r="D72" s="346"/>
      <c r="J72" s="366"/>
      <c r="K72" s="366"/>
    </row>
    <row r="73" spans="3:11" ht="14.5" hidden="1" customHeight="1" x14ac:dyDescent="0.3">
      <c r="C73" s="346"/>
      <c r="D73" s="346"/>
      <c r="J73" s="366"/>
      <c r="K73" s="366"/>
    </row>
    <row r="74" spans="3:11" ht="14.5" hidden="1" customHeight="1" x14ac:dyDescent="0.3">
      <c r="C74" s="346"/>
      <c r="D74" s="346"/>
      <c r="J74" s="366"/>
      <c r="K74" s="366"/>
    </row>
    <row r="75" spans="3:11" ht="14.5" hidden="1" customHeight="1" x14ac:dyDescent="0.3">
      <c r="C75" s="346"/>
      <c r="D75" s="346"/>
      <c r="J75" s="366"/>
      <c r="K75" s="366"/>
    </row>
    <row r="76" spans="3:11" ht="14.5" hidden="1" customHeight="1" x14ac:dyDescent="0.3">
      <c r="C76" s="346"/>
      <c r="D76" s="346"/>
      <c r="J76" s="366"/>
      <c r="K76" s="366"/>
    </row>
    <row r="77" spans="3:11" ht="14.5" hidden="1" customHeight="1" x14ac:dyDescent="0.3">
      <c r="C77" s="346"/>
      <c r="D77" s="346"/>
      <c r="J77" s="366"/>
      <c r="K77" s="366"/>
    </row>
    <row r="78" spans="3:11" ht="14.5" hidden="1" customHeight="1" x14ac:dyDescent="0.3">
      <c r="C78" s="346"/>
      <c r="D78" s="346"/>
      <c r="J78" s="366"/>
      <c r="K78" s="366"/>
    </row>
    <row r="79" spans="3:11" ht="14.5" hidden="1" customHeight="1" x14ac:dyDescent="0.3">
      <c r="C79" s="346"/>
      <c r="D79" s="346"/>
      <c r="J79" s="366"/>
      <c r="K79" s="366"/>
    </row>
    <row r="80" spans="3:11" ht="14.5" hidden="1" customHeight="1" x14ac:dyDescent="0.3">
      <c r="C80" s="346"/>
      <c r="D80" s="346"/>
      <c r="J80" s="366"/>
      <c r="K80" s="366"/>
    </row>
    <row r="81" spans="3:11" ht="14.5" hidden="1" customHeight="1" x14ac:dyDescent="0.3">
      <c r="C81" s="346"/>
      <c r="D81" s="346"/>
      <c r="J81" s="366"/>
      <c r="K81" s="366"/>
    </row>
    <row r="82" spans="3:11" ht="14.5" hidden="1" customHeight="1" x14ac:dyDescent="0.3">
      <c r="C82" s="346"/>
      <c r="D82" s="346"/>
      <c r="J82" s="366"/>
      <c r="K82" s="366"/>
    </row>
    <row r="83" spans="3:11" ht="14.5" hidden="1" customHeight="1" x14ac:dyDescent="0.3">
      <c r="C83" s="346"/>
      <c r="D83" s="346"/>
      <c r="J83" s="366"/>
      <c r="K83" s="366"/>
    </row>
    <row r="84" spans="3:11" ht="14.5" hidden="1" customHeight="1" x14ac:dyDescent="0.3">
      <c r="C84" s="346"/>
      <c r="D84" s="346"/>
      <c r="J84" s="366"/>
      <c r="K84" s="366"/>
    </row>
    <row r="85" spans="3:11" ht="14.5" hidden="1" customHeight="1" x14ac:dyDescent="0.3">
      <c r="C85" s="346"/>
      <c r="D85" s="346"/>
      <c r="J85" s="366"/>
      <c r="K85" s="366"/>
    </row>
    <row r="86" spans="3:11" ht="14.5" hidden="1" customHeight="1" x14ac:dyDescent="0.3">
      <c r="C86" s="346"/>
      <c r="D86" s="346"/>
      <c r="J86" s="366"/>
      <c r="K86" s="366"/>
    </row>
  </sheetData>
  <mergeCells count="1">
    <mergeCell ref="C9:H9"/>
  </mergeCells>
  <hyperlinks>
    <hyperlink ref="F3" location="Menu!A1" display="→Menu←" xr:uid="{BD016AB7-EEFE-4C09-8212-3BC499A2D6E8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C9C2-3C73-4402-8FE3-5592458DA3DA}">
  <sheetPr>
    <tabColor theme="9" tint="0.79998168889431442"/>
  </sheetPr>
  <dimension ref="A1:U86"/>
  <sheetViews>
    <sheetView showGridLines="0" zoomScale="55" zoomScaleNormal="55" workbookViewId="0">
      <pane xSplit="2" ySplit="10" topLeftCell="E11" activePane="bottomRight" state="frozen"/>
      <selection activeCell="K14" sqref="K14"/>
      <selection pane="topRight" activeCell="K14" sqref="K14"/>
      <selection pane="bottomLeft" activeCell="K14" sqref="K14"/>
      <selection pane="bottomRight" activeCell="M1" sqref="M1:U1048576"/>
    </sheetView>
  </sheetViews>
  <sheetFormatPr defaultColWidth="0" defaultRowHeight="0" customHeight="1" zeroHeight="1" outlineLevelRow="1" x14ac:dyDescent="0.35"/>
  <cols>
    <col min="1" max="1" width="1.1796875" style="1" customWidth="1"/>
    <col min="2" max="2" width="60.54296875" style="1" customWidth="1"/>
    <col min="3" max="4" width="12" style="1" customWidth="1"/>
    <col min="5" max="5" width="11" style="1" customWidth="1"/>
    <col min="6" max="7" width="12" style="1" customWidth="1"/>
    <col min="8" max="8" width="11" style="1" customWidth="1"/>
    <col min="9" max="9" width="7" style="1" customWidth="1"/>
    <col min="10" max="10" width="11.54296875" style="45" bestFit="1" customWidth="1"/>
    <col min="11" max="11" width="11.54296875" style="45" customWidth="1"/>
    <col min="12" max="12" width="9.54296875" style="1" customWidth="1"/>
    <col min="13" max="14" width="10.54296875" style="1" hidden="1" customWidth="1"/>
    <col min="15" max="21" width="0" style="1" hidden="1" customWidth="1"/>
    <col min="22" max="16384" width="10.54296875" style="1" hidden="1"/>
  </cols>
  <sheetData>
    <row r="1" spans="1:14" ht="3.5" customHeight="1" x14ac:dyDescent="0.35">
      <c r="C1" s="2"/>
      <c r="D1" s="2"/>
      <c r="E1" s="2"/>
      <c r="F1" s="2"/>
      <c r="G1" s="2"/>
      <c r="H1" s="2"/>
      <c r="I1" s="2"/>
      <c r="J1" s="2"/>
      <c r="K1" s="1"/>
    </row>
    <row r="2" spans="1:14" ht="15.5" hidden="1" x14ac:dyDescent="0.35">
      <c r="A2" s="3"/>
      <c r="B2" s="4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8"/>
    </row>
    <row r="3" spans="1:14" ht="15.5" hidden="1" x14ac:dyDescent="0.35">
      <c r="A3" s="3"/>
      <c r="B3" s="10"/>
      <c r="C3" s="11" t="s">
        <v>0</v>
      </c>
      <c r="D3" s="12">
        <v>45291</v>
      </c>
      <c r="E3" s="11"/>
      <c r="F3" s="96" t="s">
        <v>1</v>
      </c>
      <c r="G3" s="11"/>
      <c r="H3" s="11"/>
      <c r="I3" s="11"/>
      <c r="J3" s="11"/>
      <c r="K3" s="11"/>
      <c r="L3" s="11"/>
      <c r="M3" s="11"/>
      <c r="N3" s="14"/>
    </row>
    <row r="4" spans="1:14" ht="15.5" hidden="1" x14ac:dyDescent="0.35">
      <c r="A4" s="3"/>
      <c r="B4" s="10"/>
      <c r="C4" s="11" t="s">
        <v>2</v>
      </c>
      <c r="D4" s="15" t="s">
        <v>403</v>
      </c>
      <c r="E4" s="16"/>
      <c r="F4" s="11"/>
      <c r="G4" s="11"/>
      <c r="H4" s="11"/>
      <c r="I4" s="11"/>
      <c r="J4" s="11"/>
      <c r="K4" s="11"/>
      <c r="L4" s="11"/>
      <c r="M4" s="11"/>
      <c r="N4" s="14"/>
    </row>
    <row r="5" spans="1:14" ht="16" hidden="1" thickBot="1" x14ac:dyDescent="0.4">
      <c r="A5" s="3"/>
      <c r="B5" s="17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20"/>
    </row>
    <row r="6" spans="1:14" ht="15.5" hidden="1" x14ac:dyDescent="0.35">
      <c r="J6" s="1"/>
      <c r="K6" s="1"/>
    </row>
    <row r="7" spans="1:14" ht="15" customHeight="1" thickBot="1" x14ac:dyDescent="0.4"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4" ht="16" hidden="1" thickBot="1" x14ac:dyDescent="0.4">
      <c r="L8" s="71"/>
    </row>
    <row r="9" spans="1:14" ht="15" customHeight="1" thickBot="1" x14ac:dyDescent="0.4">
      <c r="B9" s="27" t="s">
        <v>106</v>
      </c>
      <c r="C9" s="407" t="s">
        <v>34</v>
      </c>
      <c r="D9" s="408"/>
      <c r="E9" s="408"/>
      <c r="F9" s="408"/>
      <c r="G9" s="408"/>
      <c r="H9" s="408"/>
      <c r="L9" s="64"/>
    </row>
    <row r="10" spans="1:14" ht="15" customHeight="1" thickBot="1" x14ac:dyDescent="0.4">
      <c r="B10" s="98" t="s">
        <v>36</v>
      </c>
      <c r="C10" s="28" t="s">
        <v>403</v>
      </c>
      <c r="D10" s="73" t="s">
        <v>404</v>
      </c>
      <c r="E10" s="28" t="s">
        <v>8</v>
      </c>
      <c r="F10" s="28" t="s">
        <v>405</v>
      </c>
      <c r="G10" s="28" t="s">
        <v>406</v>
      </c>
      <c r="H10" s="28" t="s">
        <v>8</v>
      </c>
      <c r="J10" s="28" t="s">
        <v>10</v>
      </c>
      <c r="K10" s="28" t="s">
        <v>11</v>
      </c>
      <c r="L10" s="64"/>
    </row>
    <row r="11" spans="1:14" ht="15.5" customHeight="1" thickBot="1" x14ac:dyDescent="0.4">
      <c r="B11" s="348" t="s">
        <v>73</v>
      </c>
      <c r="C11" s="349">
        <f>SUM(C12:C13)</f>
        <v>1687.9925587051521</v>
      </c>
      <c r="D11" s="349">
        <f>SUM(D12:D13)</f>
        <v>1231.78792905</v>
      </c>
      <c r="E11" s="178">
        <f t="shared" ref="E11:E32" si="0">IFERROR(C11/D11-1,"N.A.")</f>
        <v>0.37035971768857467</v>
      </c>
      <c r="F11" s="349">
        <f>SUM(F12:F13)</f>
        <v>6215.520826330001</v>
      </c>
      <c r="G11" s="349">
        <f>SUM(G12:G13)</f>
        <v>5450.5695495700002</v>
      </c>
      <c r="H11" s="178">
        <f t="shared" ref="H11:H32" si="1">IFERROR(F11/G11-1,"N.A.")</f>
        <v>0.14034336591858532</v>
      </c>
      <c r="J11" s="349">
        <f t="shared" ref="J11:J32" si="2">C11-D11</f>
        <v>456.20462965515208</v>
      </c>
      <c r="K11" s="349">
        <f t="shared" ref="K11:K32" si="3">F11-G11</f>
        <v>764.95127676000084</v>
      </c>
      <c r="L11" s="64"/>
    </row>
    <row r="12" spans="1:14" s="173" customFormat="1" ht="46.5" customHeight="1" outlineLevel="1" x14ac:dyDescent="0.35">
      <c r="B12" s="81" t="s">
        <v>337</v>
      </c>
      <c r="C12" s="77">
        <v>627.96401246260018</v>
      </c>
      <c r="D12" s="77">
        <v>688.35424155000044</v>
      </c>
      <c r="E12" s="363">
        <f t="shared" si="0"/>
        <v>-8.7731324138305089E-2</v>
      </c>
      <c r="F12" s="77">
        <v>2745.3027525000002</v>
      </c>
      <c r="G12" s="77">
        <v>2878.48495207</v>
      </c>
      <c r="H12" s="363">
        <f t="shared" si="1"/>
        <v>-4.626815904464765E-2</v>
      </c>
      <c r="I12" s="1"/>
      <c r="J12" s="77">
        <f t="shared" si="2"/>
        <v>-60.390229087400257</v>
      </c>
      <c r="K12" s="77">
        <f t="shared" si="3"/>
        <v>-133.18219956999974</v>
      </c>
      <c r="L12" s="64"/>
    </row>
    <row r="13" spans="1:14" s="173" customFormat="1" ht="15.5" customHeight="1" outlineLevel="1" x14ac:dyDescent="0.35">
      <c r="B13" s="81" t="s">
        <v>338</v>
      </c>
      <c r="C13" s="77">
        <v>1060.0285462425518</v>
      </c>
      <c r="D13" s="77">
        <v>543.43368749999956</v>
      </c>
      <c r="E13" s="363">
        <f t="shared" si="0"/>
        <v>0.95061250457085933</v>
      </c>
      <c r="F13" s="77">
        <v>3470.2180738300003</v>
      </c>
      <c r="G13" s="77">
        <v>2572.0845974999997</v>
      </c>
      <c r="H13" s="363">
        <f t="shared" si="1"/>
        <v>0.34918504515868687</v>
      </c>
      <c r="I13" s="1"/>
      <c r="J13" s="77">
        <f t="shared" si="2"/>
        <v>516.59485874255222</v>
      </c>
      <c r="K13" s="77">
        <f t="shared" si="3"/>
        <v>898.13347633000058</v>
      </c>
      <c r="L13" s="64"/>
    </row>
    <row r="14" spans="1:14" ht="29.5" customHeight="1" thickBot="1" x14ac:dyDescent="0.4">
      <c r="B14" s="81" t="s">
        <v>339</v>
      </c>
      <c r="C14" s="77">
        <v>-793.17310012999997</v>
      </c>
      <c r="D14" s="77">
        <v>-603.92092904999993</v>
      </c>
      <c r="E14" s="363">
        <f t="shared" si="0"/>
        <v>0.31337243333776144</v>
      </c>
      <c r="F14" s="77">
        <v>-2506.6412133200001</v>
      </c>
      <c r="G14" s="77">
        <v>-2170.9456008000002</v>
      </c>
      <c r="H14" s="363">
        <f t="shared" si="1"/>
        <v>0.15463105680598122</v>
      </c>
      <c r="J14" s="77">
        <f t="shared" si="2"/>
        <v>-189.25217108000004</v>
      </c>
      <c r="K14" s="77">
        <f t="shared" si="3"/>
        <v>-335.69561251999994</v>
      </c>
      <c r="L14" s="64"/>
    </row>
    <row r="15" spans="1:14" ht="15.5" customHeight="1" thickBot="1" x14ac:dyDescent="0.4">
      <c r="B15" s="348" t="s">
        <v>340</v>
      </c>
      <c r="C15" s="349">
        <f>SUM(C11,C14)</f>
        <v>894.81945857515211</v>
      </c>
      <c r="D15" s="349">
        <f>SUM(D11,D14)</f>
        <v>627.86700000000008</v>
      </c>
      <c r="E15" s="178">
        <f t="shared" si="0"/>
        <v>0.42517357748560136</v>
      </c>
      <c r="F15" s="349">
        <f>SUM(F11,F14)</f>
        <v>3708.8796130100009</v>
      </c>
      <c r="G15" s="349">
        <f>SUM(G11,G14)</f>
        <v>3279.62394877</v>
      </c>
      <c r="H15" s="178">
        <f t="shared" si="1"/>
        <v>0.13088563534883013</v>
      </c>
      <c r="J15" s="349">
        <f t="shared" si="2"/>
        <v>266.95245857515204</v>
      </c>
      <c r="K15" s="349">
        <f t="shared" si="3"/>
        <v>429.2556642400009</v>
      </c>
      <c r="L15" s="64"/>
    </row>
    <row r="16" spans="1:14" ht="15.5" customHeight="1" thickBot="1" x14ac:dyDescent="0.4">
      <c r="B16" s="354" t="s">
        <v>341</v>
      </c>
      <c r="C16" s="356">
        <f>SUM(C17:C21)</f>
        <v>19.557350990000103</v>
      </c>
      <c r="D16" s="356">
        <f>SUM(D17:D21)</f>
        <v>-52.220660591000005</v>
      </c>
      <c r="E16" s="189">
        <f t="shared" si="0"/>
        <v>-1.3745136650640288</v>
      </c>
      <c r="F16" s="356">
        <f>SUM(F17:F21)</f>
        <v>233.67699602000008</v>
      </c>
      <c r="G16" s="356">
        <f>SUM(G17:G21)</f>
        <v>210.68747066899999</v>
      </c>
      <c r="H16" s="189">
        <f t="shared" si="1"/>
        <v>0.10911671813231694</v>
      </c>
      <c r="J16" s="356">
        <f t="shared" si="2"/>
        <v>71.778011581000101</v>
      </c>
      <c r="K16" s="356">
        <f t="shared" si="3"/>
        <v>22.989525351000083</v>
      </c>
      <c r="L16" s="64"/>
    </row>
    <row r="17" spans="1:12" s="173" customFormat="1" ht="15.5" customHeight="1" outlineLevel="1" x14ac:dyDescent="0.35">
      <c r="B17" s="81" t="s">
        <v>328</v>
      </c>
      <c r="C17" s="77">
        <v>0</v>
      </c>
      <c r="D17" s="77">
        <v>0</v>
      </c>
      <c r="E17" s="363" t="str">
        <f t="shared" si="0"/>
        <v>N.A.</v>
      </c>
      <c r="F17" s="77">
        <v>-3.6850000000000001</v>
      </c>
      <c r="G17" s="77">
        <v>1.825</v>
      </c>
      <c r="H17" s="363">
        <f t="shared" si="1"/>
        <v>-3.0191780821917811</v>
      </c>
      <c r="I17" s="1"/>
      <c r="J17" s="77">
        <f t="shared" si="2"/>
        <v>0</v>
      </c>
      <c r="K17" s="77">
        <f t="shared" si="3"/>
        <v>-5.51</v>
      </c>
      <c r="L17" s="64"/>
    </row>
    <row r="18" spans="1:12" s="173" customFormat="1" ht="15.5" customHeight="1" outlineLevel="1" x14ac:dyDescent="0.35">
      <c r="B18" s="81" t="s">
        <v>342</v>
      </c>
      <c r="C18" s="77">
        <v>-75.745030299999868</v>
      </c>
      <c r="D18" s="77">
        <v>-115.62513462</v>
      </c>
      <c r="E18" s="363">
        <f t="shared" si="0"/>
        <v>-0.34490860876456841</v>
      </c>
      <c r="F18" s="77">
        <v>-235.03486006999987</v>
      </c>
      <c r="G18" s="77">
        <v>-292.52052416999999</v>
      </c>
      <c r="H18" s="363">
        <f t="shared" si="1"/>
        <v>-0.19651839563432483</v>
      </c>
      <c r="I18" s="1"/>
      <c r="J18" s="77">
        <f t="shared" si="2"/>
        <v>39.880104320000129</v>
      </c>
      <c r="K18" s="77">
        <f t="shared" si="3"/>
        <v>57.485664100000122</v>
      </c>
      <c r="L18" s="64"/>
    </row>
    <row r="19" spans="1:12" s="173" customFormat="1" ht="15.5" customHeight="1" outlineLevel="1" x14ac:dyDescent="0.35">
      <c r="B19" s="81" t="s">
        <v>343</v>
      </c>
      <c r="C19" s="77">
        <v>-3.1613354900000012</v>
      </c>
      <c r="D19" s="77">
        <v>11.38945365</v>
      </c>
      <c r="E19" s="363">
        <f t="shared" si="0"/>
        <v>-1.2775669129660141</v>
      </c>
      <c r="F19" s="77">
        <v>-15.681274280000002</v>
      </c>
      <c r="G19" s="77">
        <v>0</v>
      </c>
      <c r="H19" s="363" t="str">
        <f t="shared" si="1"/>
        <v>N.A.</v>
      </c>
      <c r="I19" s="1"/>
      <c r="J19" s="77">
        <f t="shared" si="2"/>
        <v>-14.550789140000001</v>
      </c>
      <c r="K19" s="77">
        <f t="shared" si="3"/>
        <v>-15.681274280000002</v>
      </c>
      <c r="L19" s="64"/>
    </row>
    <row r="20" spans="1:12" s="173" customFormat="1" ht="15.5" customHeight="1" outlineLevel="1" x14ac:dyDescent="0.35">
      <c r="B20" s="81" t="s">
        <v>344</v>
      </c>
      <c r="C20" s="77">
        <v>-12.027090455999998</v>
      </c>
      <c r="D20" s="77">
        <v>-4.2835871610000034</v>
      </c>
      <c r="E20" s="363">
        <f t="shared" si="0"/>
        <v>1.8077146568887077</v>
      </c>
      <c r="F20" s="77">
        <v>-1.2393856300000043</v>
      </c>
      <c r="G20" s="77">
        <v>-9.5045871610000034</v>
      </c>
      <c r="H20" s="363">
        <f t="shared" si="1"/>
        <v>-0.86960131892045212</v>
      </c>
      <c r="I20" s="1"/>
      <c r="J20" s="77">
        <f t="shared" si="2"/>
        <v>-7.7435032949999947</v>
      </c>
      <c r="K20" s="77">
        <f t="shared" si="3"/>
        <v>8.2652015309999989</v>
      </c>
      <c r="L20" s="64"/>
    </row>
    <row r="21" spans="1:12" s="173" customFormat="1" ht="15.5" customHeight="1" outlineLevel="1" thickBot="1" x14ac:dyDescent="0.4">
      <c r="B21" s="81" t="s">
        <v>146</v>
      </c>
      <c r="C21" s="77">
        <v>110.49080723599997</v>
      </c>
      <c r="D21" s="77">
        <v>56.298607539999999</v>
      </c>
      <c r="E21" s="363">
        <f t="shared" si="0"/>
        <v>0.96258508094532469</v>
      </c>
      <c r="F21" s="77">
        <v>489.31751599999996</v>
      </c>
      <c r="G21" s="77">
        <v>510.88758200000001</v>
      </c>
      <c r="H21" s="363">
        <f t="shared" si="1"/>
        <v>-4.2220767855735586E-2</v>
      </c>
      <c r="I21" s="1"/>
      <c r="J21" s="77">
        <f t="shared" si="2"/>
        <v>54.192199695999967</v>
      </c>
      <c r="K21" s="77">
        <f t="shared" si="3"/>
        <v>-21.570066000000054</v>
      </c>
      <c r="L21" s="64"/>
    </row>
    <row r="22" spans="1:12" ht="31.5" hidden="1" thickBot="1" x14ac:dyDescent="0.4">
      <c r="B22" s="367" t="s">
        <v>345</v>
      </c>
      <c r="C22" s="349">
        <f>SUM(C15:C16)</f>
        <v>914.37680956515226</v>
      </c>
      <c r="D22" s="349">
        <f>SUM(D15:D16)</f>
        <v>575.64633940900012</v>
      </c>
      <c r="E22" s="178">
        <f t="shared" si="0"/>
        <v>0.58843502853491114</v>
      </c>
      <c r="F22" s="349">
        <f>SUM(F15:F16)</f>
        <v>3942.5566090300008</v>
      </c>
      <c r="G22" s="349">
        <f>SUM(G15:G16)</f>
        <v>3490.311419439</v>
      </c>
      <c r="H22" s="178">
        <f t="shared" si="1"/>
        <v>0.12957158695704307</v>
      </c>
      <c r="J22" s="349">
        <f t="shared" si="2"/>
        <v>338.73047015615214</v>
      </c>
      <c r="K22" s="349">
        <f t="shared" si="3"/>
        <v>452.24518959100078</v>
      </c>
      <c r="L22" s="64"/>
    </row>
    <row r="23" spans="1:12" s="173" customFormat="1" ht="15.5" customHeight="1" thickBot="1" x14ac:dyDescent="0.4">
      <c r="B23" s="354" t="s">
        <v>80</v>
      </c>
      <c r="C23" s="356">
        <f>SUM(C24:C25)</f>
        <v>-180.59399999999999</v>
      </c>
      <c r="D23" s="356">
        <f>SUM(D24:D25)</f>
        <v>-155.10947558659089</v>
      </c>
      <c r="E23" s="189">
        <f t="shared" si="0"/>
        <v>0.16430024224524042</v>
      </c>
      <c r="F23" s="356">
        <f>SUM(F24:F25)</f>
        <v>-821.55799999999988</v>
      </c>
      <c r="G23" s="356">
        <f>SUM(G24:G25)</f>
        <v>-812.17770938909086</v>
      </c>
      <c r="H23" s="189">
        <f t="shared" si="1"/>
        <v>1.154955436780547E-2</v>
      </c>
      <c r="I23" s="1"/>
      <c r="J23" s="356">
        <f t="shared" si="2"/>
        <v>-25.484524413409105</v>
      </c>
      <c r="K23" s="356">
        <f t="shared" si="3"/>
        <v>-9.3802906109090145</v>
      </c>
      <c r="L23" s="64"/>
    </row>
    <row r="24" spans="1:12" s="173" customFormat="1" ht="15.5" customHeight="1" outlineLevel="1" x14ac:dyDescent="0.35">
      <c r="B24" s="81" t="s">
        <v>346</v>
      </c>
      <c r="C24" s="77">
        <v>74.040000000000006</v>
      </c>
      <c r="D24" s="77">
        <v>54.70652441340912</v>
      </c>
      <c r="E24" s="363">
        <f t="shared" si="0"/>
        <v>0.35340347049815612</v>
      </c>
      <c r="F24" s="77">
        <v>222.09</v>
      </c>
      <c r="G24" s="77">
        <v>169.22129061090911</v>
      </c>
      <c r="H24" s="363">
        <f t="shared" si="1"/>
        <v>0.31242350887544079</v>
      </c>
      <c r="I24" s="1"/>
      <c r="J24" s="77">
        <f t="shared" si="2"/>
        <v>19.333475586590886</v>
      </c>
      <c r="K24" s="77">
        <f t="shared" si="3"/>
        <v>52.868709389090895</v>
      </c>
      <c r="L24" s="64"/>
    </row>
    <row r="25" spans="1:12" s="173" customFormat="1" ht="15.5" customHeight="1" outlineLevel="1" thickBot="1" x14ac:dyDescent="0.4">
      <c r="B25" s="81" t="s">
        <v>347</v>
      </c>
      <c r="C25" s="77">
        <v>-254.63399999999999</v>
      </c>
      <c r="D25" s="77">
        <v>-209.816</v>
      </c>
      <c r="E25" s="363">
        <f t="shared" si="0"/>
        <v>0.21360620734357716</v>
      </c>
      <c r="F25" s="77">
        <v>-1043.6479999999999</v>
      </c>
      <c r="G25" s="77">
        <v>-981.399</v>
      </c>
      <c r="H25" s="363">
        <f t="shared" si="1"/>
        <v>6.3428839850050656E-2</v>
      </c>
      <c r="I25" s="1"/>
      <c r="J25" s="77">
        <f t="shared" si="2"/>
        <v>-44.817999999999984</v>
      </c>
      <c r="K25" s="77">
        <f t="shared" si="3"/>
        <v>-62.24899999999991</v>
      </c>
      <c r="L25" s="64"/>
    </row>
    <row r="26" spans="1:12" ht="15.5" customHeight="1" thickBot="1" x14ac:dyDescent="0.4">
      <c r="B26" s="348" t="s">
        <v>348</v>
      </c>
      <c r="C26" s="349">
        <f>SUM(C22:C23)</f>
        <v>733.78280956515232</v>
      </c>
      <c r="D26" s="349">
        <f>SUM(D22:D23)</f>
        <v>420.53686382240926</v>
      </c>
      <c r="E26" s="178">
        <f t="shared" si="0"/>
        <v>0.7448715503690666</v>
      </c>
      <c r="F26" s="349">
        <f>SUM(F22:F23)</f>
        <v>3120.9986090300008</v>
      </c>
      <c r="G26" s="349">
        <f>SUM(G22:G23)</f>
        <v>2678.133710049909</v>
      </c>
      <c r="H26" s="178">
        <f t="shared" si="1"/>
        <v>0.16536325177425093</v>
      </c>
      <c r="J26" s="349">
        <f t="shared" si="2"/>
        <v>313.24594574274306</v>
      </c>
      <c r="K26" s="349">
        <f t="shared" si="3"/>
        <v>442.86489898009177</v>
      </c>
      <c r="L26" s="64"/>
    </row>
    <row r="27" spans="1:12" s="173" customFormat="1" ht="15.5" customHeight="1" thickBot="1" x14ac:dyDescent="0.4">
      <c r="B27" s="354" t="s">
        <v>332</v>
      </c>
      <c r="C27" s="356">
        <f>SUM(C28:C29)</f>
        <v>304.06863640484846</v>
      </c>
      <c r="D27" s="356">
        <f>SUM(D28:D29)</f>
        <v>139.904</v>
      </c>
      <c r="E27" s="189">
        <f t="shared" si="0"/>
        <v>1.1734091691792119</v>
      </c>
      <c r="F27" s="356">
        <f>SUM(F28:F29)</f>
        <v>-228.63677244999997</v>
      </c>
      <c r="G27" s="356">
        <f>SUM(G28:G29)</f>
        <v>-358.34300000000002</v>
      </c>
      <c r="H27" s="189">
        <f t="shared" si="1"/>
        <v>-0.36196110304931317</v>
      </c>
      <c r="I27" s="1"/>
      <c r="J27" s="356">
        <f t="shared" si="2"/>
        <v>164.16463640484847</v>
      </c>
      <c r="K27" s="356">
        <f t="shared" si="3"/>
        <v>129.70622755000005</v>
      </c>
      <c r="L27" s="64"/>
    </row>
    <row r="28" spans="1:12" s="173" customFormat="1" ht="15.5" customHeight="1" outlineLevel="1" x14ac:dyDescent="0.35">
      <c r="B28" s="81" t="s">
        <v>126</v>
      </c>
      <c r="C28" s="77">
        <v>349.19099999999997</v>
      </c>
      <c r="D28" s="77">
        <v>97.918999999999997</v>
      </c>
      <c r="E28" s="363">
        <f t="shared" si="0"/>
        <v>2.5661209775426626</v>
      </c>
      <c r="F28" s="77">
        <v>-64.532292720000001</v>
      </c>
      <c r="G28" s="77">
        <v>-114.501</v>
      </c>
      <c r="H28" s="363">
        <f t="shared" si="1"/>
        <v>-0.43640411245316635</v>
      </c>
      <c r="I28" s="1"/>
      <c r="J28" s="77">
        <f t="shared" si="2"/>
        <v>251.27199999999999</v>
      </c>
      <c r="K28" s="77">
        <f t="shared" si="3"/>
        <v>49.968707280000004</v>
      </c>
      <c r="L28" s="64"/>
    </row>
    <row r="29" spans="1:12" s="173" customFormat="1" ht="15.5" customHeight="1" outlineLevel="1" thickBot="1" x14ac:dyDescent="0.4">
      <c r="B29" s="81" t="s">
        <v>127</v>
      </c>
      <c r="C29" s="77">
        <v>-45.122363595151519</v>
      </c>
      <c r="D29" s="77">
        <v>41.984999999999999</v>
      </c>
      <c r="E29" s="363">
        <f t="shared" si="0"/>
        <v>-2.0747258210111115</v>
      </c>
      <c r="F29" s="77">
        <v>-164.10447972999998</v>
      </c>
      <c r="G29" s="77">
        <v>-243.84200000000001</v>
      </c>
      <c r="H29" s="363">
        <f t="shared" si="1"/>
        <v>-0.32700486491252545</v>
      </c>
      <c r="I29" s="1"/>
      <c r="J29" s="77">
        <f t="shared" si="2"/>
        <v>-87.107363595151526</v>
      </c>
      <c r="K29" s="77">
        <f t="shared" si="3"/>
        <v>79.737520270000033</v>
      </c>
      <c r="L29" s="64"/>
    </row>
    <row r="30" spans="1:12" ht="15.5" customHeight="1" thickBot="1" x14ac:dyDescent="0.4">
      <c r="B30" s="348" t="s">
        <v>333</v>
      </c>
      <c r="C30" s="349">
        <f>SUM(C26:C27)</f>
        <v>1037.8514459700009</v>
      </c>
      <c r="D30" s="349">
        <f>SUM(D26:D27)</f>
        <v>560.44086382240926</v>
      </c>
      <c r="E30" s="178">
        <f t="shared" si="0"/>
        <v>0.85184827332446633</v>
      </c>
      <c r="F30" s="349">
        <f>SUM(F26:F27)</f>
        <v>2892.3618365800007</v>
      </c>
      <c r="G30" s="349">
        <f>SUM(G26:G27)</f>
        <v>2319.7907100499092</v>
      </c>
      <c r="H30" s="178">
        <f t="shared" si="1"/>
        <v>0.24682016530610773</v>
      </c>
      <c r="J30" s="349">
        <f t="shared" si="2"/>
        <v>477.41058214759164</v>
      </c>
      <c r="K30" s="349">
        <f t="shared" si="3"/>
        <v>572.57112653009153</v>
      </c>
      <c r="L30" s="64"/>
    </row>
    <row r="31" spans="1:12" s="173" customFormat="1" ht="15.5" customHeight="1" x14ac:dyDescent="0.35">
      <c r="A31" s="173" t="s">
        <v>349</v>
      </c>
      <c r="B31" s="81" t="s">
        <v>334</v>
      </c>
      <c r="C31" s="77">
        <v>-16.495999999999999</v>
      </c>
      <c r="D31" s="77">
        <v>-17.912233800000003</v>
      </c>
      <c r="E31" s="363">
        <f t="shared" si="0"/>
        <v>-7.9065169415106884E-2</v>
      </c>
      <c r="F31" s="77">
        <v>-51.244999999999997</v>
      </c>
      <c r="G31" s="77">
        <v>-57.545999999999999</v>
      </c>
      <c r="H31" s="363">
        <f t="shared" si="1"/>
        <v>-0.10949501268550377</v>
      </c>
      <c r="I31" s="1"/>
      <c r="J31" s="77">
        <f t="shared" si="2"/>
        <v>1.4162338000000041</v>
      </c>
      <c r="K31" s="77">
        <f t="shared" si="3"/>
        <v>6.3010000000000019</v>
      </c>
      <c r="L31" s="64"/>
    </row>
    <row r="32" spans="1:12" ht="15.5" customHeight="1" thickBot="1" x14ac:dyDescent="0.4">
      <c r="B32" s="364" t="s">
        <v>335</v>
      </c>
      <c r="C32" s="365">
        <f>SUM(C30:C31)</f>
        <v>1021.3554459700009</v>
      </c>
      <c r="D32" s="365">
        <f>SUM(D30:D31)</f>
        <v>542.52863002240929</v>
      </c>
      <c r="E32" s="216">
        <f t="shared" si="0"/>
        <v>0.88258349781063816</v>
      </c>
      <c r="F32" s="365">
        <f>SUM(F30:F31)</f>
        <v>2841.1168365800008</v>
      </c>
      <c r="G32" s="365">
        <f>SUM(G30:G31)</f>
        <v>2262.2447100499094</v>
      </c>
      <c r="H32" s="216">
        <f t="shared" si="1"/>
        <v>0.25588395630166838</v>
      </c>
      <c r="J32" s="365">
        <f t="shared" si="2"/>
        <v>478.82681594759163</v>
      </c>
      <c r="K32" s="365">
        <f t="shared" si="3"/>
        <v>578.87212653009146</v>
      </c>
      <c r="L32" s="64"/>
    </row>
    <row r="33" spans="2:12" ht="15" customHeight="1" x14ac:dyDescent="0.35">
      <c r="C33" s="368"/>
      <c r="D33" s="368"/>
      <c r="J33" s="369"/>
      <c r="K33" s="369"/>
      <c r="L33" s="64"/>
    </row>
    <row r="34" spans="2:12" ht="15" customHeight="1" x14ac:dyDescent="0.35">
      <c r="B34" s="95" t="s">
        <v>32</v>
      </c>
      <c r="C34" s="370">
        <f>C32-'DRE IFRS'!C42</f>
        <v>9.0949470177292824E-13</v>
      </c>
      <c r="D34" s="370">
        <f>D32-'DRE IFRS'!D42</f>
        <v>0</v>
      </c>
      <c r="E34" s="370"/>
      <c r="F34" s="370">
        <f>F32-'DRE IFRS'!F42</f>
        <v>0</v>
      </c>
      <c r="G34" s="370">
        <f>G32-'DRE IFRS'!G42</f>
        <v>0</v>
      </c>
      <c r="H34" s="370"/>
      <c r="J34" s="369"/>
      <c r="K34" s="369"/>
      <c r="L34" s="64"/>
    </row>
    <row r="35" spans="2:12" ht="15" customHeight="1" x14ac:dyDescent="0.35">
      <c r="B35" s="95" t="s">
        <v>32</v>
      </c>
      <c r="C35" s="370">
        <f>ROUND(C32-'DRE IFRS'!C42,2)</f>
        <v>0</v>
      </c>
      <c r="D35" s="370">
        <f>ROUND(D32-'DRE IFRS'!D42,2)</f>
        <v>0</v>
      </c>
      <c r="E35" s="370"/>
      <c r="F35" s="370">
        <f>ROUND(F32-'DRE IFRS'!F42,2)</f>
        <v>0</v>
      </c>
      <c r="G35" s="370">
        <f>ROUND(G32-'DRE IFRS'!G42,2)</f>
        <v>0</v>
      </c>
      <c r="H35" s="370"/>
      <c r="J35" s="369"/>
      <c r="K35" s="369"/>
      <c r="L35" s="64"/>
    </row>
    <row r="36" spans="2:12" ht="15" customHeight="1" x14ac:dyDescent="0.35">
      <c r="C36" s="368"/>
      <c r="D36" s="368"/>
      <c r="J36" s="369"/>
      <c r="K36" s="369"/>
      <c r="L36" s="64"/>
    </row>
    <row r="37" spans="2:12" ht="15" customHeight="1" x14ac:dyDescent="0.35">
      <c r="C37" s="368"/>
      <c r="D37" s="368"/>
      <c r="J37" s="369"/>
      <c r="K37" s="369"/>
      <c r="L37" s="64"/>
    </row>
    <row r="38" spans="2:12" ht="15" customHeight="1" x14ac:dyDescent="0.35">
      <c r="C38" s="368"/>
      <c r="D38" s="368"/>
      <c r="J38" s="369"/>
      <c r="K38" s="369"/>
      <c r="L38" s="64"/>
    </row>
    <row r="39" spans="2:12" ht="15" customHeight="1" x14ac:dyDescent="0.35">
      <c r="C39" s="368"/>
      <c r="D39" s="368"/>
      <c r="J39" s="369"/>
      <c r="K39" s="369"/>
      <c r="L39" s="64"/>
    </row>
    <row r="40" spans="2:12" ht="15" customHeight="1" x14ac:dyDescent="0.35">
      <c r="C40" s="368"/>
      <c r="D40" s="368"/>
      <c r="J40" s="369"/>
      <c r="K40" s="369"/>
      <c r="L40" s="64"/>
    </row>
    <row r="41" spans="2:12" ht="15" customHeight="1" x14ac:dyDescent="0.35">
      <c r="C41" s="368"/>
      <c r="D41" s="368"/>
      <c r="J41" s="369"/>
      <c r="K41" s="369"/>
      <c r="L41" s="64"/>
    </row>
    <row r="42" spans="2:12" ht="15" customHeight="1" x14ac:dyDescent="0.35">
      <c r="C42" s="368"/>
      <c r="D42" s="368"/>
      <c r="J42" s="369"/>
      <c r="K42" s="369"/>
      <c r="L42" s="64"/>
    </row>
    <row r="43" spans="2:12" ht="15" customHeight="1" x14ac:dyDescent="0.35">
      <c r="C43" s="368"/>
      <c r="D43" s="368"/>
      <c r="J43" s="369"/>
      <c r="K43" s="369"/>
      <c r="L43" s="64"/>
    </row>
    <row r="44" spans="2:12" ht="15" hidden="1" customHeight="1" x14ac:dyDescent="0.35">
      <c r="J44" s="369"/>
      <c r="K44" s="369"/>
    </row>
    <row r="45" spans="2:12" ht="15" hidden="1" customHeight="1" x14ac:dyDescent="0.35">
      <c r="J45" s="369"/>
      <c r="K45" s="369"/>
    </row>
    <row r="46" spans="2:12" ht="15" hidden="1" customHeight="1" x14ac:dyDescent="0.35">
      <c r="J46" s="369"/>
      <c r="K46" s="369"/>
    </row>
    <row r="47" spans="2:12" ht="15" hidden="1" customHeight="1" x14ac:dyDescent="0.35">
      <c r="J47" s="369"/>
      <c r="K47" s="369"/>
    </row>
    <row r="48" spans="2:12" ht="15" hidden="1" customHeight="1" x14ac:dyDescent="0.35">
      <c r="C48" s="368"/>
      <c r="D48" s="368"/>
      <c r="J48" s="369"/>
      <c r="K48" s="369"/>
    </row>
    <row r="49" spans="3:11" ht="15" hidden="1" customHeight="1" x14ac:dyDescent="0.35">
      <c r="C49" s="368"/>
      <c r="D49" s="368"/>
      <c r="J49" s="369"/>
      <c r="K49" s="369"/>
    </row>
    <row r="50" spans="3:11" ht="15" hidden="1" customHeight="1" x14ac:dyDescent="0.35">
      <c r="C50" s="368"/>
      <c r="D50" s="368"/>
      <c r="J50" s="369"/>
      <c r="K50" s="369"/>
    </row>
    <row r="51" spans="3:11" ht="15" hidden="1" customHeight="1" x14ac:dyDescent="0.35">
      <c r="C51" s="368"/>
      <c r="D51" s="368"/>
      <c r="J51" s="369"/>
      <c r="K51" s="369"/>
    </row>
    <row r="52" spans="3:11" ht="15" hidden="1" customHeight="1" x14ac:dyDescent="0.35">
      <c r="C52" s="368"/>
      <c r="D52" s="368"/>
      <c r="J52" s="369"/>
      <c r="K52" s="369"/>
    </row>
    <row r="53" spans="3:11" ht="15" hidden="1" customHeight="1" x14ac:dyDescent="0.35">
      <c r="C53" s="368"/>
      <c r="D53" s="368"/>
      <c r="J53" s="369"/>
      <c r="K53" s="369"/>
    </row>
    <row r="54" spans="3:11" ht="15.5" hidden="1" x14ac:dyDescent="0.35">
      <c r="C54" s="368"/>
      <c r="D54" s="368"/>
      <c r="J54" s="369"/>
      <c r="K54" s="369"/>
    </row>
    <row r="55" spans="3:11" ht="15.5" hidden="1" x14ac:dyDescent="0.35">
      <c r="C55" s="368"/>
      <c r="D55" s="368"/>
      <c r="J55" s="369"/>
      <c r="K55" s="369"/>
    </row>
    <row r="56" spans="3:11" ht="15.5" hidden="1" x14ac:dyDescent="0.35">
      <c r="C56" s="368"/>
      <c r="D56" s="368"/>
      <c r="J56" s="369"/>
      <c r="K56" s="369"/>
    </row>
    <row r="57" spans="3:11" ht="15.5" hidden="1" x14ac:dyDescent="0.35">
      <c r="C57" s="368"/>
      <c r="D57" s="368"/>
      <c r="J57" s="369"/>
      <c r="K57" s="369"/>
    </row>
    <row r="58" spans="3:11" ht="15.5" hidden="1" x14ac:dyDescent="0.35">
      <c r="C58" s="368"/>
      <c r="D58" s="368"/>
      <c r="J58" s="369"/>
      <c r="K58" s="369"/>
    </row>
    <row r="59" spans="3:11" ht="15.5" hidden="1" x14ac:dyDescent="0.35">
      <c r="C59" s="368"/>
      <c r="D59" s="368"/>
      <c r="J59" s="369"/>
      <c r="K59" s="369"/>
    </row>
    <row r="60" spans="3:11" ht="15.5" hidden="1" x14ac:dyDescent="0.35">
      <c r="C60" s="368"/>
      <c r="D60" s="368"/>
      <c r="J60" s="369"/>
      <c r="K60" s="369"/>
    </row>
    <row r="61" spans="3:11" ht="15.5" hidden="1" x14ac:dyDescent="0.35">
      <c r="C61" s="368"/>
      <c r="D61" s="368"/>
      <c r="J61" s="369"/>
      <c r="K61" s="369"/>
    </row>
    <row r="62" spans="3:11" ht="15.5" hidden="1" x14ac:dyDescent="0.35">
      <c r="C62" s="368"/>
      <c r="D62" s="368"/>
      <c r="J62" s="369"/>
      <c r="K62" s="369"/>
    </row>
    <row r="63" spans="3:11" ht="15.5" hidden="1" x14ac:dyDescent="0.35">
      <c r="C63" s="368"/>
      <c r="D63" s="368"/>
      <c r="J63" s="369"/>
      <c r="K63" s="369"/>
    </row>
    <row r="64" spans="3:11" ht="15.5" hidden="1" x14ac:dyDescent="0.35">
      <c r="C64" s="368"/>
      <c r="D64" s="368"/>
      <c r="J64" s="369"/>
      <c r="K64" s="369"/>
    </row>
    <row r="65" spans="3:11" ht="15.5" hidden="1" x14ac:dyDescent="0.35">
      <c r="C65" s="368"/>
      <c r="D65" s="368"/>
      <c r="J65" s="369"/>
      <c r="K65" s="369"/>
    </row>
    <row r="66" spans="3:11" ht="15.5" hidden="1" x14ac:dyDescent="0.35">
      <c r="C66" s="368"/>
      <c r="D66" s="368"/>
      <c r="J66" s="369"/>
      <c r="K66" s="369"/>
    </row>
    <row r="67" spans="3:11" ht="15.5" hidden="1" x14ac:dyDescent="0.35">
      <c r="C67" s="368"/>
      <c r="D67" s="368"/>
      <c r="J67" s="369"/>
      <c r="K67" s="369"/>
    </row>
    <row r="68" spans="3:11" ht="15.5" hidden="1" x14ac:dyDescent="0.35">
      <c r="C68" s="368"/>
      <c r="D68" s="368"/>
      <c r="J68" s="369"/>
      <c r="K68" s="369"/>
    </row>
    <row r="69" spans="3:11" ht="15.5" hidden="1" x14ac:dyDescent="0.35">
      <c r="C69" s="368"/>
      <c r="D69" s="368"/>
      <c r="J69" s="369"/>
      <c r="K69" s="369"/>
    </row>
    <row r="70" spans="3:11" ht="15.5" hidden="1" x14ac:dyDescent="0.35">
      <c r="C70" s="368"/>
      <c r="D70" s="368"/>
      <c r="J70" s="369"/>
      <c r="K70" s="369"/>
    </row>
    <row r="71" spans="3:11" ht="15.5" hidden="1" x14ac:dyDescent="0.35">
      <c r="C71" s="368"/>
      <c r="D71" s="368"/>
      <c r="J71" s="369"/>
      <c r="K71" s="369"/>
    </row>
    <row r="72" spans="3:11" ht="15.5" hidden="1" x14ac:dyDescent="0.35">
      <c r="C72" s="368"/>
      <c r="D72" s="368"/>
      <c r="J72" s="369"/>
      <c r="K72" s="369"/>
    </row>
    <row r="73" spans="3:11" ht="15.5" hidden="1" x14ac:dyDescent="0.35">
      <c r="C73" s="368"/>
      <c r="D73" s="368"/>
      <c r="J73" s="369"/>
      <c r="K73" s="369"/>
    </row>
    <row r="74" spans="3:11" ht="15.5" hidden="1" x14ac:dyDescent="0.35">
      <c r="C74" s="368"/>
      <c r="D74" s="368"/>
      <c r="J74" s="369"/>
      <c r="K74" s="369"/>
    </row>
    <row r="75" spans="3:11" ht="15.5" hidden="1" x14ac:dyDescent="0.35">
      <c r="C75" s="368"/>
      <c r="D75" s="368"/>
      <c r="J75" s="369"/>
      <c r="K75" s="369"/>
    </row>
    <row r="76" spans="3:11" ht="15.5" hidden="1" x14ac:dyDescent="0.35">
      <c r="C76" s="368"/>
      <c r="D76" s="368"/>
      <c r="J76" s="369"/>
      <c r="K76" s="369"/>
    </row>
    <row r="77" spans="3:11" ht="15.5" hidden="1" x14ac:dyDescent="0.35">
      <c r="C77" s="368"/>
      <c r="D77" s="368"/>
      <c r="J77" s="369"/>
      <c r="K77" s="369"/>
    </row>
    <row r="78" spans="3:11" ht="15.5" hidden="1" x14ac:dyDescent="0.35">
      <c r="C78" s="368"/>
      <c r="D78" s="368"/>
      <c r="J78" s="369"/>
      <c r="K78" s="369"/>
    </row>
    <row r="79" spans="3:11" ht="15.5" hidden="1" x14ac:dyDescent="0.35">
      <c r="C79" s="368"/>
      <c r="D79" s="368"/>
      <c r="J79" s="369"/>
      <c r="K79" s="369"/>
    </row>
    <row r="80" spans="3:11" ht="15.5" hidden="1" x14ac:dyDescent="0.35">
      <c r="C80" s="368"/>
      <c r="D80" s="368"/>
      <c r="J80" s="369"/>
      <c r="K80" s="369"/>
    </row>
    <row r="81" spans="3:11" ht="15.5" hidden="1" x14ac:dyDescent="0.35">
      <c r="C81" s="368"/>
      <c r="D81" s="368"/>
      <c r="J81" s="369"/>
      <c r="K81" s="369"/>
    </row>
    <row r="82" spans="3:11" ht="15.5" hidden="1" x14ac:dyDescent="0.35">
      <c r="C82" s="368"/>
      <c r="D82" s="368"/>
      <c r="J82" s="369"/>
      <c r="K82" s="369"/>
    </row>
    <row r="83" spans="3:11" ht="15.5" hidden="1" x14ac:dyDescent="0.35">
      <c r="C83" s="368"/>
      <c r="D83" s="368"/>
      <c r="J83" s="369"/>
      <c r="K83" s="369"/>
    </row>
    <row r="84" spans="3:11" ht="15.5" hidden="1" x14ac:dyDescent="0.35">
      <c r="C84" s="368"/>
      <c r="D84" s="368"/>
      <c r="J84" s="369"/>
      <c r="K84" s="369"/>
    </row>
    <row r="85" spans="3:11" ht="15.5" hidden="1" x14ac:dyDescent="0.35">
      <c r="C85" s="368"/>
      <c r="D85" s="368"/>
      <c r="J85" s="369"/>
      <c r="K85" s="369"/>
    </row>
    <row r="86" spans="3:11" ht="15.5" hidden="1" x14ac:dyDescent="0.35">
      <c r="C86" s="368"/>
      <c r="D86" s="368"/>
      <c r="J86" s="369"/>
      <c r="K86" s="369"/>
    </row>
  </sheetData>
  <mergeCells count="1">
    <mergeCell ref="C9:H9"/>
  </mergeCells>
  <hyperlinks>
    <hyperlink ref="F3" location="Menu!A1" display="→Menu←" xr:uid="{EBE38EEF-2553-4266-AB22-A5385DAC0FB4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6A35-62E0-4C5C-BE2A-DCC4C913C937}">
  <sheetPr>
    <tabColor theme="9" tint="0.79998168889431442"/>
  </sheetPr>
  <dimension ref="A1:F86"/>
  <sheetViews>
    <sheetView showGridLines="0" zoomScale="70" zoomScaleNormal="70" workbookViewId="0">
      <pane xSplit="2" ySplit="10" topLeftCell="C11" activePane="bottomRight" state="frozen"/>
      <selection activeCell="K14" sqref="K14"/>
      <selection pane="topRight" activeCell="K14" sqref="K14"/>
      <selection pane="bottomLeft" activeCell="K14" sqref="K14"/>
      <selection pane="bottomRight" activeCell="G1" sqref="G1:XFD1048576"/>
    </sheetView>
  </sheetViews>
  <sheetFormatPr defaultColWidth="8.81640625" defaultRowHeight="0" customHeight="1" zeroHeight="1" x14ac:dyDescent="0.35"/>
  <cols>
    <col min="1" max="1" width="1.1796875" style="1" customWidth="1"/>
    <col min="2" max="2" width="47.81640625" style="1" customWidth="1"/>
    <col min="3" max="4" width="14.90625" style="371" customWidth="1"/>
    <col min="5" max="5" width="5.81640625" style="1" customWidth="1"/>
    <col min="6" max="6" width="11.90625" style="372" customWidth="1"/>
    <col min="7" max="16384" width="8.81640625" style="1"/>
  </cols>
  <sheetData>
    <row r="1" spans="1:6" ht="3.5" customHeight="1" thickBot="1" x14ac:dyDescent="0.4">
      <c r="C1" s="2"/>
      <c r="D1" s="2"/>
      <c r="E1" s="2"/>
      <c r="F1" s="2"/>
    </row>
    <row r="2" spans="1:6" ht="15.5" x14ac:dyDescent="0.35">
      <c r="A2" s="3"/>
      <c r="B2" s="4"/>
      <c r="C2" s="5"/>
      <c r="D2" s="5"/>
      <c r="E2" s="5"/>
      <c r="F2" s="6"/>
    </row>
    <row r="3" spans="1:6" ht="15.5" x14ac:dyDescent="0.35">
      <c r="A3" s="3"/>
      <c r="B3" s="10"/>
      <c r="C3" s="11" t="s">
        <v>0</v>
      </c>
      <c r="D3" s="12">
        <v>45291</v>
      </c>
      <c r="E3" s="11"/>
      <c r="F3" s="96" t="s">
        <v>1</v>
      </c>
    </row>
    <row r="4" spans="1:6" ht="15.5" x14ac:dyDescent="0.35">
      <c r="A4" s="3"/>
      <c r="B4" s="10"/>
      <c r="C4" s="11" t="s">
        <v>2</v>
      </c>
      <c r="D4" s="15" t="s">
        <v>403</v>
      </c>
      <c r="E4" s="16"/>
      <c r="F4" s="11"/>
    </row>
    <row r="5" spans="1:6" ht="16" thickBot="1" x14ac:dyDescent="0.4">
      <c r="A5" s="3"/>
      <c r="B5" s="17"/>
      <c r="C5" s="18"/>
      <c r="D5" s="18"/>
      <c r="E5" s="18"/>
      <c r="F5" s="19"/>
    </row>
    <row r="6" spans="1:6" ht="15.5" x14ac:dyDescent="0.35">
      <c r="C6" s="1"/>
      <c r="D6" s="1"/>
      <c r="F6" s="1"/>
    </row>
    <row r="7" spans="1:6" ht="15" customHeight="1" x14ac:dyDescent="0.35">
      <c r="B7" s="22" t="s">
        <v>4</v>
      </c>
      <c r="C7" s="23"/>
      <c r="D7" s="23"/>
      <c r="E7" s="23"/>
      <c r="F7" s="23"/>
    </row>
    <row r="8" spans="1:6" ht="15" customHeight="1" thickBot="1" x14ac:dyDescent="0.4"/>
    <row r="9" spans="1:6" ht="15" customHeight="1" thickBot="1" x14ac:dyDescent="0.4">
      <c r="B9" s="27" t="s">
        <v>194</v>
      </c>
      <c r="C9" s="426" t="s">
        <v>34</v>
      </c>
      <c r="D9" s="427"/>
    </row>
    <row r="10" spans="1:6" ht="15" customHeight="1" thickBot="1" x14ac:dyDescent="0.4">
      <c r="B10" s="98" t="s">
        <v>67</v>
      </c>
      <c r="C10" s="232">
        <v>45291</v>
      </c>
      <c r="D10" s="258">
        <v>44926</v>
      </c>
    </row>
    <row r="11" spans="1:6" ht="15" customHeight="1" thickBot="1" x14ac:dyDescent="0.4">
      <c r="B11" s="348" t="s">
        <v>195</v>
      </c>
      <c r="C11" s="373"/>
      <c r="D11" s="373"/>
    </row>
    <row r="12" spans="1:6" ht="15" customHeight="1" x14ac:dyDescent="0.35">
      <c r="B12" s="89" t="s">
        <v>196</v>
      </c>
      <c r="C12" s="374">
        <v>245819</v>
      </c>
      <c r="D12" s="374">
        <v>336523</v>
      </c>
    </row>
    <row r="13" spans="1:6" s="181" customFormat="1" ht="15" customHeight="1" x14ac:dyDescent="0.35">
      <c r="A13" s="1"/>
      <c r="B13" s="81" t="s">
        <v>350</v>
      </c>
      <c r="C13" s="375">
        <v>1526208</v>
      </c>
      <c r="D13" s="375">
        <v>907326</v>
      </c>
      <c r="E13" s="1"/>
      <c r="F13" s="372"/>
    </row>
    <row r="14" spans="1:6" ht="15" customHeight="1" x14ac:dyDescent="0.35">
      <c r="B14" s="81" t="s">
        <v>351</v>
      </c>
      <c r="C14" s="375">
        <v>3477877</v>
      </c>
      <c r="D14" s="375">
        <v>3030059</v>
      </c>
    </row>
    <row r="15" spans="1:6" ht="15" customHeight="1" x14ac:dyDescent="0.35">
      <c r="B15" s="81" t="s">
        <v>156</v>
      </c>
      <c r="C15" s="375">
        <v>268730</v>
      </c>
      <c r="D15" s="375">
        <v>114235</v>
      </c>
    </row>
    <row r="16" spans="1:6" ht="15" customHeight="1" x14ac:dyDescent="0.35">
      <c r="B16" s="81" t="s">
        <v>200</v>
      </c>
      <c r="C16" s="375">
        <v>0</v>
      </c>
      <c r="D16" s="375">
        <v>816</v>
      </c>
    </row>
    <row r="17" spans="2:4" ht="15" customHeight="1" x14ac:dyDescent="0.35">
      <c r="B17" s="81" t="s">
        <v>201</v>
      </c>
      <c r="C17" s="375">
        <v>107483</v>
      </c>
      <c r="D17" s="375">
        <v>89563</v>
      </c>
    </row>
    <row r="18" spans="2:4" ht="15" customHeight="1" thickBot="1" x14ac:dyDescent="0.4">
      <c r="B18" s="81" t="s">
        <v>42</v>
      </c>
      <c r="C18" s="375">
        <v>352314</v>
      </c>
      <c r="D18" s="375">
        <v>191648</v>
      </c>
    </row>
    <row r="19" spans="2:4" ht="15" customHeight="1" thickBot="1" x14ac:dyDescent="0.4">
      <c r="B19" s="86"/>
      <c r="C19" s="376">
        <f>SUM(C12:C18)</f>
        <v>5978431</v>
      </c>
      <c r="D19" s="376">
        <f>SUM(D12:D18)</f>
        <v>4670170</v>
      </c>
    </row>
    <row r="20" spans="2:4" ht="15" customHeight="1" thickBot="1" x14ac:dyDescent="0.4">
      <c r="B20" s="348" t="s">
        <v>202</v>
      </c>
      <c r="C20" s="377"/>
      <c r="D20" s="377"/>
    </row>
    <row r="21" spans="2:4" ht="15" customHeight="1" x14ac:dyDescent="0.35">
      <c r="B21" s="81" t="s">
        <v>352</v>
      </c>
      <c r="C21" s="375"/>
      <c r="D21" s="375"/>
    </row>
    <row r="22" spans="2:4" ht="15" customHeight="1" x14ac:dyDescent="0.35">
      <c r="B22" s="81" t="s">
        <v>353</v>
      </c>
      <c r="C22" s="375">
        <v>22618926</v>
      </c>
      <c r="D22" s="375">
        <v>20828913</v>
      </c>
    </row>
    <row r="23" spans="2:4" ht="15" customHeight="1" x14ac:dyDescent="0.35">
      <c r="B23" s="81" t="s">
        <v>155</v>
      </c>
      <c r="C23" s="375">
        <v>2371307</v>
      </c>
      <c r="D23" s="375">
        <v>2175500</v>
      </c>
    </row>
    <row r="24" spans="2:4" ht="15" customHeight="1" x14ac:dyDescent="0.35">
      <c r="B24" s="81" t="s">
        <v>158</v>
      </c>
      <c r="C24" s="375">
        <v>42677</v>
      </c>
      <c r="D24" s="375">
        <v>41298</v>
      </c>
    </row>
    <row r="25" spans="2:4" ht="15" customHeight="1" x14ac:dyDescent="0.35">
      <c r="B25" s="81" t="s">
        <v>186</v>
      </c>
      <c r="C25" s="375">
        <v>20193</v>
      </c>
      <c r="D25" s="375">
        <v>32173</v>
      </c>
    </row>
    <row r="26" spans="2:4" ht="15" customHeight="1" thickBot="1" x14ac:dyDescent="0.4">
      <c r="B26" s="81" t="s">
        <v>160</v>
      </c>
      <c r="C26" s="375">
        <v>275315</v>
      </c>
      <c r="D26" s="375">
        <v>110013</v>
      </c>
    </row>
    <row r="27" spans="2:4" ht="15" customHeight="1" thickBot="1" x14ac:dyDescent="0.4">
      <c r="B27" s="86"/>
      <c r="C27" s="376">
        <f>SUM(C22:C26)</f>
        <v>25328418</v>
      </c>
      <c r="D27" s="376">
        <f>SUM(D22:D26)</f>
        <v>23187897</v>
      </c>
    </row>
    <row r="28" spans="2:4" ht="15" customHeight="1" x14ac:dyDescent="0.35">
      <c r="B28" s="81" t="s">
        <v>137</v>
      </c>
      <c r="C28" s="375">
        <v>4022567</v>
      </c>
      <c r="D28" s="375">
        <v>3794693</v>
      </c>
    </row>
    <row r="29" spans="2:4" ht="15.5" x14ac:dyDescent="0.35">
      <c r="B29" s="81" t="s">
        <v>178</v>
      </c>
      <c r="C29" s="375">
        <v>120104</v>
      </c>
      <c r="D29" s="375">
        <v>114932</v>
      </c>
    </row>
    <row r="30" spans="2:4" ht="15" customHeight="1" thickBot="1" x14ac:dyDescent="0.4">
      <c r="B30" s="81" t="s">
        <v>211</v>
      </c>
      <c r="C30" s="375">
        <v>461636</v>
      </c>
      <c r="D30" s="375">
        <v>475858</v>
      </c>
    </row>
    <row r="31" spans="2:4" ht="15" customHeight="1" x14ac:dyDescent="0.35">
      <c r="B31" s="129"/>
      <c r="C31" s="378">
        <f>SUM(C28:C30)</f>
        <v>4604307</v>
      </c>
      <c r="D31" s="378">
        <f>SUM(D28:D30)</f>
        <v>4385483</v>
      </c>
    </row>
    <row r="32" spans="2:4" ht="15" customHeight="1" x14ac:dyDescent="0.35">
      <c r="B32" s="136"/>
      <c r="C32" s="379">
        <f>C31+C27</f>
        <v>29932725</v>
      </c>
      <c r="D32" s="379">
        <f>D31+D27</f>
        <v>27573380</v>
      </c>
    </row>
    <row r="33" spans="2:6" ht="15" customHeight="1" thickBot="1" x14ac:dyDescent="0.4">
      <c r="B33" s="118" t="s">
        <v>212</v>
      </c>
      <c r="C33" s="380">
        <f>C32+C19</f>
        <v>35911156</v>
      </c>
      <c r="D33" s="380">
        <f>D32+D19</f>
        <v>32243550</v>
      </c>
      <c r="E33" s="381"/>
      <c r="F33" s="382"/>
    </row>
    <row r="34" spans="2:6" ht="15" customHeight="1" thickBot="1" x14ac:dyDescent="0.4">
      <c r="C34" s="383"/>
      <c r="D34" s="383"/>
    </row>
    <row r="35" spans="2:6" ht="15" customHeight="1" thickBot="1" x14ac:dyDescent="0.4">
      <c r="B35" s="27" t="s">
        <v>354</v>
      </c>
      <c r="C35" s="426" t="s">
        <v>34</v>
      </c>
      <c r="D35" s="427"/>
    </row>
    <row r="36" spans="2:6" ht="15" customHeight="1" thickBot="1" x14ac:dyDescent="0.4">
      <c r="B36" s="98" t="s">
        <v>67</v>
      </c>
      <c r="C36" s="232">
        <v>45291</v>
      </c>
      <c r="D36" s="258">
        <v>44926</v>
      </c>
    </row>
    <row r="37" spans="2:6" ht="15" customHeight="1" thickBot="1" x14ac:dyDescent="0.4">
      <c r="B37" s="348" t="s">
        <v>195</v>
      </c>
      <c r="C37" s="348"/>
      <c r="D37" s="348"/>
    </row>
    <row r="38" spans="2:6" ht="15" customHeight="1" x14ac:dyDescent="0.35">
      <c r="B38" s="81" t="s">
        <v>214</v>
      </c>
      <c r="C38" s="375">
        <v>75811</v>
      </c>
      <c r="D38" s="375">
        <v>78060</v>
      </c>
    </row>
    <row r="39" spans="2:6" ht="15" customHeight="1" x14ac:dyDescent="0.35">
      <c r="B39" s="81" t="s">
        <v>215</v>
      </c>
      <c r="C39" s="375">
        <v>570815</v>
      </c>
      <c r="D39" s="375">
        <v>88833</v>
      </c>
    </row>
    <row r="40" spans="2:6" ht="15" customHeight="1" x14ac:dyDescent="0.35">
      <c r="B40" s="81" t="s">
        <v>217</v>
      </c>
      <c r="C40" s="375">
        <v>6268</v>
      </c>
      <c r="D40" s="375">
        <v>14124</v>
      </c>
    </row>
    <row r="41" spans="2:6" ht="15" customHeight="1" x14ac:dyDescent="0.35">
      <c r="B41" s="81" t="s">
        <v>162</v>
      </c>
      <c r="C41" s="375">
        <v>177986</v>
      </c>
      <c r="D41" s="375">
        <v>111557</v>
      </c>
    </row>
    <row r="42" spans="2:6" ht="15" customHeight="1" x14ac:dyDescent="0.35">
      <c r="B42" s="81" t="s">
        <v>164</v>
      </c>
      <c r="C42" s="375">
        <v>115139</v>
      </c>
      <c r="D42" s="375">
        <v>197315</v>
      </c>
    </row>
    <row r="43" spans="2:6" ht="15" customHeight="1" x14ac:dyDescent="0.35">
      <c r="B43" s="81" t="s">
        <v>168</v>
      </c>
      <c r="C43" s="375">
        <v>53071</v>
      </c>
      <c r="D43" s="375">
        <v>63287</v>
      </c>
    </row>
    <row r="44" spans="2:6" ht="15" customHeight="1" x14ac:dyDescent="0.35">
      <c r="B44" s="81" t="s">
        <v>219</v>
      </c>
      <c r="C44" s="375">
        <v>1247850</v>
      </c>
      <c r="D44" s="375">
        <v>611207</v>
      </c>
    </row>
    <row r="45" spans="2:6" ht="15" customHeight="1" thickBot="1" x14ac:dyDescent="0.4">
      <c r="B45" s="81" t="s">
        <v>42</v>
      </c>
      <c r="C45" s="375">
        <v>197796</v>
      </c>
      <c r="D45" s="375">
        <v>128963</v>
      </c>
    </row>
    <row r="46" spans="2:6" ht="15" customHeight="1" thickBot="1" x14ac:dyDescent="0.4">
      <c r="B46" s="86"/>
      <c r="C46" s="376">
        <f>SUM(C38:C45)</f>
        <v>2444736</v>
      </c>
      <c r="D46" s="376">
        <f>SUM(D38:D45)</f>
        <v>1293346</v>
      </c>
    </row>
    <row r="47" spans="2:6" ht="15" customHeight="1" x14ac:dyDescent="0.35">
      <c r="B47" s="384" t="s">
        <v>202</v>
      </c>
      <c r="C47" s="385"/>
      <c r="D47" s="385"/>
    </row>
    <row r="48" spans="2:6" ht="15" customHeight="1" thickBot="1" x14ac:dyDescent="0.4">
      <c r="B48" s="386" t="s">
        <v>222</v>
      </c>
      <c r="C48" s="387"/>
      <c r="D48" s="387"/>
    </row>
    <row r="49" spans="2:4" ht="15" customHeight="1" x14ac:dyDescent="0.35">
      <c r="B49" s="81" t="s">
        <v>223</v>
      </c>
      <c r="C49" s="375">
        <v>633914</v>
      </c>
      <c r="D49" s="375">
        <v>2012601</v>
      </c>
    </row>
    <row r="50" spans="2:4" ht="15" customHeight="1" x14ac:dyDescent="0.35">
      <c r="B50" s="81" t="s">
        <v>224</v>
      </c>
      <c r="C50" s="375">
        <v>7959755</v>
      </c>
      <c r="D50" s="375">
        <v>5805235</v>
      </c>
    </row>
    <row r="51" spans="2:4" ht="15" customHeight="1" x14ac:dyDescent="0.35">
      <c r="B51" s="81" t="s">
        <v>225</v>
      </c>
      <c r="C51" s="375">
        <v>22102</v>
      </c>
      <c r="D51" s="375">
        <v>42844</v>
      </c>
    </row>
    <row r="52" spans="2:4" ht="15" customHeight="1" x14ac:dyDescent="0.35">
      <c r="B52" s="81" t="s">
        <v>230</v>
      </c>
      <c r="C52" s="375">
        <v>2034661</v>
      </c>
      <c r="D52" s="375">
        <v>1849888</v>
      </c>
    </row>
    <row r="53" spans="2:4" ht="15" customHeight="1" x14ac:dyDescent="0.35">
      <c r="B53" s="81" t="s">
        <v>231</v>
      </c>
      <c r="C53" s="375">
        <v>4436717</v>
      </c>
      <c r="D53" s="375">
        <v>4357908</v>
      </c>
    </row>
    <row r="54" spans="2:4" ht="15" customHeight="1" x14ac:dyDescent="0.35">
      <c r="B54" s="81" t="s">
        <v>363</v>
      </c>
      <c r="C54" s="375">
        <v>38163</v>
      </c>
      <c r="D54" s="375">
        <v>28142</v>
      </c>
    </row>
    <row r="55" spans="2:4" ht="15" customHeight="1" x14ac:dyDescent="0.35">
      <c r="B55" s="81" t="s">
        <v>233</v>
      </c>
      <c r="C55" s="375">
        <v>129803</v>
      </c>
      <c r="D55" s="375">
        <v>140759</v>
      </c>
    </row>
    <row r="56" spans="2:4" ht="15" customHeight="1" x14ac:dyDescent="0.35">
      <c r="B56" s="81" t="s">
        <v>366</v>
      </c>
      <c r="C56" s="375">
        <v>401059</v>
      </c>
      <c r="D56" s="375">
        <v>153836</v>
      </c>
    </row>
    <row r="57" spans="2:4" ht="15" customHeight="1" thickBot="1" x14ac:dyDescent="0.4">
      <c r="B57" s="81" t="s">
        <v>160</v>
      </c>
      <c r="C57" s="375">
        <v>18534</v>
      </c>
      <c r="D57" s="375">
        <v>22510</v>
      </c>
    </row>
    <row r="58" spans="2:4" ht="15" customHeight="1" thickBot="1" x14ac:dyDescent="0.4">
      <c r="B58" s="86"/>
      <c r="C58" s="376">
        <f>SUM(C49:C57)</f>
        <v>15674708</v>
      </c>
      <c r="D58" s="376">
        <f>SUM(D49:D57)</f>
        <v>14413723</v>
      </c>
    </row>
    <row r="59" spans="2:4" ht="15" customHeight="1" thickBot="1" x14ac:dyDescent="0.4">
      <c r="B59" s="348" t="s">
        <v>236</v>
      </c>
      <c r="C59" s="377"/>
      <c r="D59" s="377"/>
    </row>
    <row r="60" spans="2:4" ht="15" customHeight="1" x14ac:dyDescent="0.35">
      <c r="B60" s="81" t="s">
        <v>237</v>
      </c>
      <c r="C60" s="375">
        <v>3590020</v>
      </c>
      <c r="D60" s="375">
        <v>3590020</v>
      </c>
    </row>
    <row r="61" spans="2:4" ht="15" customHeight="1" x14ac:dyDescent="0.35">
      <c r="B61" s="81" t="s">
        <v>238</v>
      </c>
      <c r="C61" s="375">
        <v>666</v>
      </c>
      <c r="D61" s="375">
        <v>666</v>
      </c>
    </row>
    <row r="62" spans="2:4" ht="15" customHeight="1" x14ac:dyDescent="0.35">
      <c r="B62" s="81" t="s">
        <v>240</v>
      </c>
      <c r="C62" s="375">
        <v>13997026</v>
      </c>
      <c r="D62" s="375">
        <v>12608142</v>
      </c>
    </row>
    <row r="63" spans="2:4" ht="15" customHeight="1" x14ac:dyDescent="0.35">
      <c r="B63" s="81" t="s">
        <v>242</v>
      </c>
      <c r="C63" s="388">
        <v>-207572</v>
      </c>
      <c r="D63" s="388">
        <v>-21376</v>
      </c>
    </row>
    <row r="64" spans="2:4" ht="15" customHeight="1" thickBot="1" x14ac:dyDescent="0.4">
      <c r="B64" s="81" t="s">
        <v>370</v>
      </c>
      <c r="C64" s="375">
        <v>0</v>
      </c>
      <c r="D64" s="375">
        <v>0</v>
      </c>
    </row>
    <row r="65" spans="2:4" ht="15" customHeight="1" thickBot="1" x14ac:dyDescent="0.4">
      <c r="B65" s="86"/>
      <c r="C65" s="376">
        <f>SUM(C60:C64)</f>
        <v>17380140</v>
      </c>
      <c r="D65" s="376">
        <f>SUM(D60:D64)</f>
        <v>16177452</v>
      </c>
    </row>
    <row r="66" spans="2:4" ht="32" customHeight="1" thickBot="1" x14ac:dyDescent="0.4">
      <c r="B66" s="390" t="s">
        <v>243</v>
      </c>
      <c r="C66" s="375">
        <v>411572</v>
      </c>
      <c r="D66" s="375">
        <v>359029</v>
      </c>
    </row>
    <row r="67" spans="2:4" ht="15" customHeight="1" x14ac:dyDescent="0.35">
      <c r="B67" s="129"/>
      <c r="C67" s="378">
        <f>C65+C66</f>
        <v>17791712</v>
      </c>
      <c r="D67" s="378">
        <f>D65+D66</f>
        <v>16536481</v>
      </c>
    </row>
    <row r="68" spans="2:4" ht="15" customHeight="1" thickBot="1" x14ac:dyDescent="0.4">
      <c r="B68" s="118" t="s">
        <v>244</v>
      </c>
      <c r="C68" s="380">
        <f>C67+C58+C46</f>
        <v>35911156</v>
      </c>
      <c r="D68" s="380">
        <f>D67+D58+D46</f>
        <v>32243550</v>
      </c>
    </row>
    <row r="69" spans="2:4" ht="15" customHeight="1" x14ac:dyDescent="0.35">
      <c r="C69" s="391"/>
      <c r="D69" s="383"/>
    </row>
    <row r="70" spans="2:4" ht="15" customHeight="1" x14ac:dyDescent="0.35">
      <c r="B70" s="392" t="s">
        <v>245</v>
      </c>
      <c r="C70" s="393">
        <v>0</v>
      </c>
      <c r="D70" s="393">
        <v>0</v>
      </c>
    </row>
    <row r="71" spans="2:4" ht="15" customHeight="1" x14ac:dyDescent="0.35">
      <c r="B71" s="392" t="s">
        <v>246</v>
      </c>
      <c r="C71" s="393">
        <v>0</v>
      </c>
      <c r="D71" s="393">
        <v>0</v>
      </c>
    </row>
    <row r="72" spans="2:4" ht="15" customHeight="1" x14ac:dyDescent="0.35">
      <c r="B72" s="392" t="s">
        <v>32</v>
      </c>
      <c r="C72" s="393">
        <f>C68-C33</f>
        <v>0</v>
      </c>
      <c r="D72" s="393">
        <f>D68-D33</f>
        <v>0</v>
      </c>
    </row>
    <row r="73" spans="2:4" ht="15" customHeight="1" x14ac:dyDescent="0.35">
      <c r="C73" s="383"/>
      <c r="D73" s="383"/>
    </row>
    <row r="74" spans="2:4" ht="15" customHeight="1" x14ac:dyDescent="0.35">
      <c r="C74" s="391"/>
      <c r="D74" s="394"/>
    </row>
    <row r="75" spans="2:4" ht="15" customHeight="1" x14ac:dyDescent="0.35">
      <c r="C75" s="383"/>
      <c r="D75" s="383"/>
    </row>
    <row r="76" spans="2:4" ht="15" hidden="1" customHeight="1" x14ac:dyDescent="0.35">
      <c r="C76" s="383"/>
      <c r="D76" s="383"/>
    </row>
    <row r="77" spans="2:4" ht="15" hidden="1" customHeight="1" x14ac:dyDescent="0.35">
      <c r="C77" s="383"/>
      <c r="D77" s="383"/>
    </row>
    <row r="78" spans="2:4" ht="15" hidden="1" customHeight="1" x14ac:dyDescent="0.35">
      <c r="C78" s="383"/>
      <c r="D78" s="383"/>
    </row>
    <row r="79" spans="2:4" ht="15" hidden="1" customHeight="1" x14ac:dyDescent="0.35">
      <c r="C79" s="383"/>
      <c r="D79" s="383"/>
    </row>
    <row r="80" spans="2:4" ht="15" hidden="1" customHeight="1" x14ac:dyDescent="0.35">
      <c r="C80" s="383"/>
      <c r="D80" s="383"/>
    </row>
    <row r="81" spans="3:4" ht="15" hidden="1" customHeight="1" x14ac:dyDescent="0.35">
      <c r="C81" s="383"/>
      <c r="D81" s="383"/>
    </row>
    <row r="82" spans="3:4" ht="15" hidden="1" customHeight="1" x14ac:dyDescent="0.35">
      <c r="C82" s="383"/>
      <c r="D82" s="383"/>
    </row>
    <row r="83" spans="3:4" ht="15" hidden="1" customHeight="1" x14ac:dyDescent="0.35">
      <c r="C83" s="383"/>
      <c r="D83" s="383"/>
    </row>
    <row r="84" spans="3:4" ht="15" hidden="1" customHeight="1" x14ac:dyDescent="0.35">
      <c r="C84" s="383"/>
      <c r="D84" s="383"/>
    </row>
    <row r="85" spans="3:4" ht="15" hidden="1" customHeight="1" x14ac:dyDescent="0.35">
      <c r="C85" s="383"/>
      <c r="D85" s="383"/>
    </row>
    <row r="86" spans="3:4" ht="15" hidden="1" customHeight="1" x14ac:dyDescent="0.35">
      <c r="C86" s="383"/>
      <c r="D86" s="383"/>
    </row>
  </sheetData>
  <mergeCells count="2">
    <mergeCell ref="C9:D9"/>
    <mergeCell ref="C35:D35"/>
  </mergeCells>
  <hyperlinks>
    <hyperlink ref="F3" location="Menu!A1" display="→Menu←" xr:uid="{F8163564-60D0-4E40-9B3D-0E04F0C6444C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523B4-9E56-4401-A131-41EFFAA2B700}">
  <sheetPr>
    <tabColor theme="9" tint="0.79998168889431442"/>
  </sheetPr>
  <dimension ref="A1:W86"/>
  <sheetViews>
    <sheetView showGridLines="0" zoomScale="70" zoomScaleNormal="70" workbookViewId="0">
      <pane xSplit="2" ySplit="10" topLeftCell="C11" activePane="bottomRight" state="frozen"/>
      <selection activeCell="K14" sqref="K14"/>
      <selection pane="topRight" activeCell="K14" sqref="K14"/>
      <selection pane="bottomLeft" activeCell="K14" sqref="K14"/>
      <selection pane="bottomRight" activeCell="G1" sqref="G1:L1048576"/>
    </sheetView>
  </sheetViews>
  <sheetFormatPr defaultColWidth="0" defaultRowHeight="15" customHeight="1" x14ac:dyDescent="0.35"/>
  <cols>
    <col min="1" max="1" width="1.1796875" style="1" customWidth="1"/>
    <col min="2" max="2" width="47.81640625" style="1" customWidth="1"/>
    <col min="3" max="4" width="15.1796875" style="371" customWidth="1"/>
    <col min="5" max="5" width="5.81640625" style="1" customWidth="1"/>
    <col min="6" max="6" width="9.36328125" style="372" customWidth="1"/>
    <col min="7" max="23" width="0" style="1" hidden="1" customWidth="1"/>
    <col min="24" max="16384" width="8.81640625" style="1" hidden="1"/>
  </cols>
  <sheetData>
    <row r="1" spans="1:6" ht="3.5" customHeight="1" thickBot="1" x14ac:dyDescent="0.4">
      <c r="C1" s="2"/>
      <c r="D1" s="2"/>
      <c r="E1" s="2"/>
      <c r="F1" s="2"/>
    </row>
    <row r="2" spans="1:6" ht="15.5" x14ac:dyDescent="0.35">
      <c r="A2" s="3"/>
      <c r="B2" s="4"/>
      <c r="C2" s="5"/>
      <c r="D2" s="5"/>
      <c r="E2" s="5"/>
      <c r="F2" s="6"/>
    </row>
    <row r="3" spans="1:6" ht="15.5" x14ac:dyDescent="0.35">
      <c r="A3" s="3"/>
      <c r="B3" s="10"/>
      <c r="C3" s="11" t="s">
        <v>0</v>
      </c>
      <c r="D3" s="12">
        <v>45291</v>
      </c>
      <c r="E3" s="11"/>
      <c r="F3" s="96" t="s">
        <v>1</v>
      </c>
    </row>
    <row r="4" spans="1:6" ht="15.5" x14ac:dyDescent="0.35">
      <c r="A4" s="3"/>
      <c r="B4" s="10"/>
      <c r="C4" s="11" t="s">
        <v>2</v>
      </c>
      <c r="D4" s="15" t="s">
        <v>403</v>
      </c>
      <c r="E4" s="16"/>
      <c r="F4" s="11"/>
    </row>
    <row r="5" spans="1:6" ht="16" thickBot="1" x14ac:dyDescent="0.4">
      <c r="A5" s="3"/>
      <c r="B5" s="17"/>
      <c r="C5" s="18"/>
      <c r="D5" s="18"/>
      <c r="E5" s="18"/>
      <c r="F5" s="19"/>
    </row>
    <row r="6" spans="1:6" ht="15.5" x14ac:dyDescent="0.35">
      <c r="C6" s="1"/>
      <c r="D6" s="1"/>
      <c r="F6" s="1"/>
    </row>
    <row r="7" spans="1:6" ht="15" customHeight="1" x14ac:dyDescent="0.35">
      <c r="B7" s="22" t="s">
        <v>4</v>
      </c>
      <c r="C7" s="23"/>
      <c r="D7" s="23"/>
      <c r="E7" s="23"/>
      <c r="F7" s="23"/>
    </row>
    <row r="8" spans="1:6" ht="15" customHeight="1" thickBot="1" x14ac:dyDescent="0.4">
      <c r="C8" s="395"/>
      <c r="D8" s="395"/>
    </row>
    <row r="9" spans="1:6" ht="15" customHeight="1" thickBot="1" x14ac:dyDescent="0.4">
      <c r="B9" s="27" t="s">
        <v>194</v>
      </c>
      <c r="C9" s="426" t="s">
        <v>34</v>
      </c>
      <c r="D9" s="428"/>
    </row>
    <row r="10" spans="1:6" ht="15" customHeight="1" thickBot="1" x14ac:dyDescent="0.4">
      <c r="B10" s="98" t="s">
        <v>67</v>
      </c>
      <c r="C10" s="270">
        <v>45291</v>
      </c>
      <c r="D10" s="396">
        <v>44926</v>
      </c>
    </row>
    <row r="11" spans="1:6" ht="15" customHeight="1" thickBot="1" x14ac:dyDescent="0.4">
      <c r="B11" s="348" t="s">
        <v>195</v>
      </c>
      <c r="C11" s="348"/>
      <c r="D11" s="348"/>
    </row>
    <row r="12" spans="1:6" ht="15" customHeight="1" x14ac:dyDescent="0.35">
      <c r="B12" s="81" t="s">
        <v>196</v>
      </c>
      <c r="C12" s="389">
        <v>245819</v>
      </c>
      <c r="D12" s="389">
        <v>336523</v>
      </c>
    </row>
    <row r="13" spans="1:6" ht="15" customHeight="1" x14ac:dyDescent="0.35">
      <c r="B13" s="81" t="s">
        <v>350</v>
      </c>
      <c r="C13" s="389">
        <v>1526208</v>
      </c>
      <c r="D13" s="389">
        <v>907326</v>
      </c>
    </row>
    <row r="14" spans="1:6" ht="15" customHeight="1" x14ac:dyDescent="0.35">
      <c r="B14" s="81" t="s">
        <v>351</v>
      </c>
      <c r="C14" s="389">
        <v>3477877</v>
      </c>
      <c r="D14" s="389">
        <v>3030059</v>
      </c>
    </row>
    <row r="15" spans="1:6" ht="15" customHeight="1" x14ac:dyDescent="0.35">
      <c r="B15" s="81" t="s">
        <v>154</v>
      </c>
      <c r="C15" s="389">
        <v>164941</v>
      </c>
      <c r="D15" s="389">
        <v>91236</v>
      </c>
    </row>
    <row r="16" spans="1:6" ht="15" customHeight="1" x14ac:dyDescent="0.35">
      <c r="B16" s="81" t="s">
        <v>156</v>
      </c>
      <c r="C16" s="389">
        <v>268730</v>
      </c>
      <c r="D16" s="389">
        <v>114235</v>
      </c>
    </row>
    <row r="17" spans="2:4" ht="15" customHeight="1" x14ac:dyDescent="0.35">
      <c r="B17" s="81" t="s">
        <v>200</v>
      </c>
      <c r="C17" s="389">
        <v>0</v>
      </c>
      <c r="D17" s="389">
        <v>816</v>
      </c>
    </row>
    <row r="18" spans="2:4" ht="15" customHeight="1" x14ac:dyDescent="0.35">
      <c r="B18" s="81" t="s">
        <v>201</v>
      </c>
      <c r="C18" s="389">
        <v>107483</v>
      </c>
      <c r="D18" s="389">
        <v>89563</v>
      </c>
    </row>
    <row r="19" spans="2:4" ht="15" customHeight="1" x14ac:dyDescent="0.35">
      <c r="B19" s="81" t="s">
        <v>157</v>
      </c>
      <c r="C19" s="389">
        <v>12732</v>
      </c>
      <c r="D19" s="389">
        <v>6907</v>
      </c>
    </row>
    <row r="20" spans="2:4" ht="15" customHeight="1" x14ac:dyDescent="0.35">
      <c r="B20" s="81" t="s">
        <v>152</v>
      </c>
      <c r="C20" s="389">
        <v>6657</v>
      </c>
      <c r="D20" s="389">
        <v>2126</v>
      </c>
    </row>
    <row r="21" spans="2:4" ht="15" customHeight="1" x14ac:dyDescent="0.35">
      <c r="B21" s="81" t="s">
        <v>373</v>
      </c>
      <c r="C21" s="389">
        <v>0</v>
      </c>
      <c r="D21" s="389">
        <v>28</v>
      </c>
    </row>
    <row r="22" spans="2:4" ht="15" customHeight="1" thickBot="1" x14ac:dyDescent="0.4">
      <c r="B22" s="81" t="s">
        <v>42</v>
      </c>
      <c r="C22" s="389">
        <v>167984</v>
      </c>
      <c r="D22" s="389">
        <v>91351</v>
      </c>
    </row>
    <row r="23" spans="2:4" ht="15" customHeight="1" thickBot="1" x14ac:dyDescent="0.4">
      <c r="B23" s="86"/>
      <c r="C23" s="397">
        <f>SUM(C12:C22)</f>
        <v>5978431</v>
      </c>
      <c r="D23" s="397">
        <f>SUM(D12:D22)</f>
        <v>4670170</v>
      </c>
    </row>
    <row r="24" spans="2:4" ht="15" customHeight="1" thickBot="1" x14ac:dyDescent="0.4">
      <c r="B24" s="348" t="s">
        <v>202</v>
      </c>
      <c r="C24" s="398"/>
      <c r="D24" s="398"/>
    </row>
    <row r="25" spans="2:4" ht="15" customHeight="1" x14ac:dyDescent="0.35">
      <c r="B25" s="81" t="s">
        <v>352</v>
      </c>
      <c r="C25" s="389"/>
      <c r="D25" s="389"/>
    </row>
    <row r="26" spans="2:4" ht="15" customHeight="1" x14ac:dyDescent="0.35">
      <c r="B26" s="81" t="s">
        <v>204</v>
      </c>
      <c r="C26" s="389">
        <v>17578</v>
      </c>
      <c r="D26" s="389">
        <v>32173</v>
      </c>
    </row>
    <row r="27" spans="2:4" ht="15" customHeight="1" x14ac:dyDescent="0.35">
      <c r="B27" s="81" t="s">
        <v>353</v>
      </c>
      <c r="C27" s="389">
        <v>22618926</v>
      </c>
      <c r="D27" s="389">
        <v>20828913</v>
      </c>
    </row>
    <row r="28" spans="2:4" ht="15" customHeight="1" x14ac:dyDescent="0.35">
      <c r="B28" s="81" t="s">
        <v>206</v>
      </c>
      <c r="C28" s="389">
        <v>2371307</v>
      </c>
      <c r="D28" s="389">
        <v>2175500</v>
      </c>
    </row>
    <row r="29" spans="2:4" ht="15" customHeight="1" x14ac:dyDescent="0.35">
      <c r="B29" s="81" t="s">
        <v>208</v>
      </c>
      <c r="C29" s="389">
        <v>42677</v>
      </c>
      <c r="D29" s="389">
        <v>41298</v>
      </c>
    </row>
    <row r="30" spans="2:4" ht="15" customHeight="1" x14ac:dyDescent="0.35">
      <c r="B30" s="81" t="s">
        <v>198</v>
      </c>
      <c r="C30" s="389">
        <v>134930</v>
      </c>
      <c r="D30" s="389">
        <v>48280</v>
      </c>
    </row>
    <row r="31" spans="2:4" ht="15" customHeight="1" x14ac:dyDescent="0.35">
      <c r="B31" s="81" t="s">
        <v>210</v>
      </c>
      <c r="C31" s="389">
        <v>2615</v>
      </c>
      <c r="D31" s="389">
        <v>0</v>
      </c>
    </row>
    <row r="32" spans="2:4" ht="15" customHeight="1" x14ac:dyDescent="0.35">
      <c r="B32" s="81" t="s">
        <v>374</v>
      </c>
      <c r="C32" s="389">
        <v>0</v>
      </c>
      <c r="D32" s="389">
        <v>0</v>
      </c>
    </row>
    <row r="33" spans="2:6" ht="15" customHeight="1" thickBot="1" x14ac:dyDescent="0.4">
      <c r="B33" s="81" t="s">
        <v>160</v>
      </c>
      <c r="C33" s="389">
        <v>140385</v>
      </c>
      <c r="D33" s="389">
        <v>61733</v>
      </c>
    </row>
    <row r="34" spans="2:6" ht="15" customHeight="1" thickBot="1" x14ac:dyDescent="0.4">
      <c r="B34" s="86"/>
      <c r="C34" s="236">
        <f>SUM(C26:C33)</f>
        <v>25328418</v>
      </c>
      <c r="D34" s="236">
        <f>SUM(D26:D33)</f>
        <v>23187897</v>
      </c>
    </row>
    <row r="35" spans="2:6" ht="15" customHeight="1" x14ac:dyDescent="0.35">
      <c r="B35" s="81" t="s">
        <v>137</v>
      </c>
      <c r="C35" s="389">
        <v>4022567</v>
      </c>
      <c r="D35" s="389">
        <v>3794693</v>
      </c>
    </row>
    <row r="36" spans="2:6" ht="15.5" x14ac:dyDescent="0.35">
      <c r="B36" s="81" t="s">
        <v>178</v>
      </c>
      <c r="C36" s="389">
        <v>120104</v>
      </c>
      <c r="D36" s="389">
        <v>114932</v>
      </c>
    </row>
    <row r="37" spans="2:6" ht="15" customHeight="1" thickBot="1" x14ac:dyDescent="0.4">
      <c r="B37" s="81" t="s">
        <v>211</v>
      </c>
      <c r="C37" s="389">
        <v>461636</v>
      </c>
      <c r="D37" s="389">
        <v>475858</v>
      </c>
    </row>
    <row r="38" spans="2:6" ht="15" customHeight="1" x14ac:dyDescent="0.35">
      <c r="B38" s="129"/>
      <c r="C38" s="378">
        <f>SUM(C35:C37)</f>
        <v>4604307</v>
      </c>
      <c r="D38" s="378">
        <f>SUM(D35:D37)</f>
        <v>4385483</v>
      </c>
    </row>
    <row r="39" spans="2:6" ht="15" customHeight="1" x14ac:dyDescent="0.35">
      <c r="B39" s="136"/>
      <c r="C39" s="379">
        <f>C38+C34</f>
        <v>29932725</v>
      </c>
      <c r="D39" s="379">
        <f>D38+D34</f>
        <v>27573380</v>
      </c>
    </row>
    <row r="40" spans="2:6" ht="15" customHeight="1" thickBot="1" x14ac:dyDescent="0.4">
      <c r="B40" s="118" t="s">
        <v>212</v>
      </c>
      <c r="C40" s="380">
        <f>C39+C23</f>
        <v>35911156</v>
      </c>
      <c r="D40" s="380">
        <f>D39+D23</f>
        <v>32243550</v>
      </c>
    </row>
    <row r="41" spans="2:6" ht="15" customHeight="1" thickBot="1" x14ac:dyDescent="0.4">
      <c r="C41" s="383"/>
      <c r="D41" s="383"/>
    </row>
    <row r="42" spans="2:6" ht="15" customHeight="1" thickBot="1" x14ac:dyDescent="0.4">
      <c r="B42" s="27" t="s">
        <v>354</v>
      </c>
      <c r="C42" s="426" t="s">
        <v>34</v>
      </c>
      <c r="D42" s="428"/>
    </row>
    <row r="43" spans="2:6" ht="15" customHeight="1" thickBot="1" x14ac:dyDescent="0.4">
      <c r="B43" s="98" t="s">
        <v>67</v>
      </c>
      <c r="C43" s="270">
        <v>45291</v>
      </c>
      <c r="D43" s="396">
        <v>44926</v>
      </c>
    </row>
    <row r="44" spans="2:6" ht="15" customHeight="1" thickBot="1" x14ac:dyDescent="0.4">
      <c r="B44" s="348" t="s">
        <v>195</v>
      </c>
      <c r="C44" s="348"/>
      <c r="D44" s="348"/>
    </row>
    <row r="45" spans="2:6" ht="15" customHeight="1" x14ac:dyDescent="0.35">
      <c r="B45" s="81" t="s">
        <v>214</v>
      </c>
      <c r="C45" s="375">
        <v>75811</v>
      </c>
      <c r="D45" s="375">
        <v>78060</v>
      </c>
      <c r="F45" s="372" t="s">
        <v>355</v>
      </c>
    </row>
    <row r="46" spans="2:6" ht="15" customHeight="1" x14ac:dyDescent="0.35">
      <c r="B46" s="81" t="s">
        <v>215</v>
      </c>
      <c r="C46" s="375">
        <v>570815</v>
      </c>
      <c r="D46" s="375">
        <v>88833</v>
      </c>
      <c r="F46" s="372" t="s">
        <v>216</v>
      </c>
    </row>
    <row r="47" spans="2:6" ht="15" customHeight="1" x14ac:dyDescent="0.35">
      <c r="B47" s="81" t="s">
        <v>217</v>
      </c>
      <c r="C47" s="375">
        <v>6268</v>
      </c>
      <c r="D47" s="375">
        <v>14124</v>
      </c>
      <c r="F47" s="372" t="s">
        <v>218</v>
      </c>
    </row>
    <row r="48" spans="2:6" ht="15" customHeight="1" x14ac:dyDescent="0.35">
      <c r="B48" s="81" t="s">
        <v>186</v>
      </c>
      <c r="C48" s="375">
        <v>25926</v>
      </c>
      <c r="D48" s="375">
        <v>0</v>
      </c>
      <c r="F48" s="372" t="s">
        <v>375</v>
      </c>
    </row>
    <row r="49" spans="2:6" ht="15" customHeight="1" x14ac:dyDescent="0.35">
      <c r="B49" s="81" t="s">
        <v>162</v>
      </c>
      <c r="C49" s="375">
        <v>177986</v>
      </c>
      <c r="D49" s="375">
        <v>111557</v>
      </c>
      <c r="F49" s="372" t="s">
        <v>163</v>
      </c>
    </row>
    <row r="50" spans="2:6" ht="15" customHeight="1" x14ac:dyDescent="0.35">
      <c r="B50" s="81" t="s">
        <v>376</v>
      </c>
      <c r="C50" s="375">
        <v>115139</v>
      </c>
      <c r="D50" s="375">
        <v>197315</v>
      </c>
      <c r="F50" s="372" t="s">
        <v>356</v>
      </c>
    </row>
    <row r="51" spans="2:6" ht="15" customHeight="1" x14ac:dyDescent="0.35">
      <c r="B51" s="81" t="s">
        <v>377</v>
      </c>
      <c r="C51" s="375">
        <v>53071</v>
      </c>
      <c r="D51" s="375">
        <v>63287</v>
      </c>
      <c r="F51" s="372" t="s">
        <v>357</v>
      </c>
    </row>
    <row r="52" spans="2:6" ht="15" customHeight="1" x14ac:dyDescent="0.35">
      <c r="B52" s="81" t="s">
        <v>219</v>
      </c>
      <c r="C52" s="375">
        <v>1247850</v>
      </c>
      <c r="D52" s="375">
        <v>611207</v>
      </c>
      <c r="F52" s="372" t="s">
        <v>358</v>
      </c>
    </row>
    <row r="53" spans="2:6" ht="15" customHeight="1" x14ac:dyDescent="0.35">
      <c r="B53" s="81" t="s">
        <v>165</v>
      </c>
      <c r="C53" s="375">
        <v>63940</v>
      </c>
      <c r="D53" s="375">
        <v>53810</v>
      </c>
      <c r="F53" s="372" t="s">
        <v>166</v>
      </c>
    </row>
    <row r="54" spans="2:6" ht="15" customHeight="1" x14ac:dyDescent="0.35">
      <c r="B54" s="81" t="s">
        <v>378</v>
      </c>
      <c r="C54" s="375">
        <v>731</v>
      </c>
      <c r="D54" s="375">
        <v>823</v>
      </c>
      <c r="F54" s="372" t="s">
        <v>221</v>
      </c>
    </row>
    <row r="55" spans="2:6" ht="15" customHeight="1" thickBot="1" x14ac:dyDescent="0.4">
      <c r="B55" s="81" t="s">
        <v>42</v>
      </c>
      <c r="C55" s="375">
        <v>107199</v>
      </c>
      <c r="D55" s="375">
        <v>74330</v>
      </c>
      <c r="F55" s="372" t="s">
        <v>327</v>
      </c>
    </row>
    <row r="56" spans="2:6" ht="15" customHeight="1" thickBot="1" x14ac:dyDescent="0.4">
      <c r="B56" s="86"/>
      <c r="C56" s="376">
        <f>SUM(C45:C55)</f>
        <v>2444736</v>
      </c>
      <c r="D56" s="376">
        <f>SUM(D45:D55)</f>
        <v>1293346</v>
      </c>
    </row>
    <row r="57" spans="2:6" ht="15" customHeight="1" thickBot="1" x14ac:dyDescent="0.4">
      <c r="B57" s="384" t="s">
        <v>202</v>
      </c>
      <c r="C57" s="399"/>
      <c r="D57" s="399"/>
    </row>
    <row r="58" spans="2:6" ht="15" customHeight="1" thickBot="1" x14ac:dyDescent="0.4">
      <c r="B58" s="348" t="s">
        <v>222</v>
      </c>
      <c r="C58" s="348"/>
      <c r="D58" s="348"/>
    </row>
    <row r="59" spans="2:6" ht="15" customHeight="1" x14ac:dyDescent="0.35">
      <c r="B59" s="89" t="s">
        <v>223</v>
      </c>
      <c r="C59" s="374">
        <v>633914</v>
      </c>
      <c r="D59" s="374">
        <v>2012601</v>
      </c>
      <c r="F59" s="372" t="s">
        <v>359</v>
      </c>
    </row>
    <row r="60" spans="2:6" ht="15" customHeight="1" x14ac:dyDescent="0.35">
      <c r="B60" s="81" t="s">
        <v>224</v>
      </c>
      <c r="C60" s="375">
        <v>7959755</v>
      </c>
      <c r="D60" s="375">
        <v>5805235</v>
      </c>
      <c r="F60" s="372" t="s">
        <v>360</v>
      </c>
    </row>
    <row r="61" spans="2:6" ht="15" customHeight="1" x14ac:dyDescent="0.35">
      <c r="B61" s="81" t="s">
        <v>225</v>
      </c>
      <c r="C61" s="375">
        <v>22102</v>
      </c>
      <c r="D61" s="375">
        <v>42844</v>
      </c>
      <c r="F61" s="372" t="s">
        <v>226</v>
      </c>
    </row>
    <row r="62" spans="2:6" ht="15" customHeight="1" x14ac:dyDescent="0.35">
      <c r="B62" s="81" t="s">
        <v>210</v>
      </c>
      <c r="C62" s="375">
        <v>880</v>
      </c>
      <c r="D62" s="375">
        <v>4117</v>
      </c>
      <c r="F62" s="372" t="s">
        <v>375</v>
      </c>
    </row>
    <row r="63" spans="2:6" ht="15" customHeight="1" x14ac:dyDescent="0.35">
      <c r="B63" s="81" t="s">
        <v>227</v>
      </c>
      <c r="C63" s="375">
        <v>1746</v>
      </c>
      <c r="D63" s="375">
        <v>6056</v>
      </c>
      <c r="F63" s="372" t="s">
        <v>228</v>
      </c>
    </row>
    <row r="64" spans="2:6" ht="15" customHeight="1" x14ac:dyDescent="0.35">
      <c r="B64" s="81" t="s">
        <v>379</v>
      </c>
      <c r="C64" s="375">
        <v>129803</v>
      </c>
      <c r="D64" s="375">
        <v>140759</v>
      </c>
      <c r="F64" s="372" t="s">
        <v>365</v>
      </c>
    </row>
    <row r="65" spans="2:6" ht="15" customHeight="1" x14ac:dyDescent="0.35">
      <c r="B65" s="81" t="s">
        <v>366</v>
      </c>
      <c r="C65" s="375">
        <v>401059</v>
      </c>
      <c r="D65" s="375">
        <v>153836</v>
      </c>
      <c r="F65" s="372" t="s">
        <v>367</v>
      </c>
    </row>
    <row r="66" spans="2:6" ht="15" customHeight="1" x14ac:dyDescent="0.35">
      <c r="B66" s="81" t="s">
        <v>380</v>
      </c>
      <c r="C66" s="375">
        <v>2034661</v>
      </c>
      <c r="D66" s="375">
        <v>1849888</v>
      </c>
      <c r="F66" s="372" t="s">
        <v>361</v>
      </c>
    </row>
    <row r="67" spans="2:6" ht="15" customHeight="1" x14ac:dyDescent="0.35">
      <c r="B67" s="81" t="s">
        <v>231</v>
      </c>
      <c r="C67" s="375">
        <v>4436717</v>
      </c>
      <c r="D67" s="375">
        <v>4357908</v>
      </c>
      <c r="F67" s="372" t="s">
        <v>362</v>
      </c>
    </row>
    <row r="68" spans="2:6" ht="15" customHeight="1" x14ac:dyDescent="0.35">
      <c r="B68" s="81" t="s">
        <v>232</v>
      </c>
      <c r="C68" s="375">
        <v>38163</v>
      </c>
      <c r="D68" s="375">
        <v>28142</v>
      </c>
      <c r="F68" s="372" t="s">
        <v>364</v>
      </c>
    </row>
    <row r="69" spans="2:6" ht="15" customHeight="1" thickBot="1" x14ac:dyDescent="0.4">
      <c r="B69" s="81" t="s">
        <v>160</v>
      </c>
      <c r="C69" s="375">
        <v>15908</v>
      </c>
      <c r="D69" s="375">
        <v>12337</v>
      </c>
      <c r="F69" s="372" t="s">
        <v>381</v>
      </c>
    </row>
    <row r="70" spans="2:6" ht="15" customHeight="1" thickBot="1" x14ac:dyDescent="0.4">
      <c r="B70" s="86"/>
      <c r="C70" s="376">
        <f>SUM(C59:C69)</f>
        <v>15674708</v>
      </c>
      <c r="D70" s="376">
        <f>SUM(D59:D69)</f>
        <v>14413723</v>
      </c>
    </row>
    <row r="71" spans="2:6" ht="15" customHeight="1" thickBot="1" x14ac:dyDescent="0.4">
      <c r="B71" s="348" t="s">
        <v>236</v>
      </c>
      <c r="C71" s="400"/>
      <c r="D71" s="400"/>
    </row>
    <row r="72" spans="2:6" ht="15" customHeight="1" x14ac:dyDescent="0.35">
      <c r="B72" s="81" t="s">
        <v>382</v>
      </c>
      <c r="C72" s="375">
        <v>3590020</v>
      </c>
      <c r="D72" s="375">
        <v>3590020</v>
      </c>
      <c r="F72" s="372" t="s">
        <v>368</v>
      </c>
    </row>
    <row r="73" spans="2:6" ht="15" customHeight="1" x14ac:dyDescent="0.35">
      <c r="B73" s="81" t="s">
        <v>383</v>
      </c>
      <c r="C73" s="375">
        <v>666</v>
      </c>
      <c r="D73" s="375">
        <v>666</v>
      </c>
      <c r="F73" s="372" t="s">
        <v>239</v>
      </c>
    </row>
    <row r="74" spans="2:6" ht="15" customHeight="1" x14ac:dyDescent="0.35">
      <c r="B74" s="81" t="s">
        <v>384</v>
      </c>
      <c r="C74" s="375">
        <v>13997026</v>
      </c>
      <c r="D74" s="375">
        <v>12608142</v>
      </c>
      <c r="F74" s="372" t="s">
        <v>369</v>
      </c>
    </row>
    <row r="75" spans="2:6" ht="15" customHeight="1" thickBot="1" x14ac:dyDescent="0.4">
      <c r="B75" s="81" t="s">
        <v>242</v>
      </c>
      <c r="C75" s="375">
        <v>-207572</v>
      </c>
      <c r="D75" s="375">
        <v>-21376</v>
      </c>
      <c r="F75" s="372" t="s">
        <v>371</v>
      </c>
    </row>
    <row r="76" spans="2:6" ht="15" customHeight="1" thickBot="1" x14ac:dyDescent="0.4">
      <c r="B76" s="86"/>
      <c r="C76" s="376">
        <f>SUM(C72:C75)</f>
        <v>17380140</v>
      </c>
      <c r="D76" s="376">
        <f>SUM(D72:D75)</f>
        <v>16177452</v>
      </c>
    </row>
    <row r="77" spans="2:6" ht="30" customHeight="1" thickBot="1" x14ac:dyDescent="0.4">
      <c r="B77" s="390" t="s">
        <v>243</v>
      </c>
      <c r="C77" s="375">
        <v>411572</v>
      </c>
      <c r="D77" s="375">
        <v>359029</v>
      </c>
      <c r="F77" s="372" t="s">
        <v>372</v>
      </c>
    </row>
    <row r="78" spans="2:6" ht="15" customHeight="1" x14ac:dyDescent="0.35">
      <c r="B78" s="129"/>
      <c r="C78" s="378">
        <f>C76+C77</f>
        <v>17791712</v>
      </c>
      <c r="D78" s="378">
        <f>D76+D77</f>
        <v>16536481</v>
      </c>
    </row>
    <row r="79" spans="2:6" ht="15" customHeight="1" thickBot="1" x14ac:dyDescent="0.4">
      <c r="B79" s="118" t="s">
        <v>244</v>
      </c>
      <c r="C79" s="380">
        <f>C78+C70+C56</f>
        <v>35911156</v>
      </c>
      <c r="D79" s="380">
        <f>D78+D70+D56</f>
        <v>32243550</v>
      </c>
    </row>
    <row r="80" spans="2:6" ht="15" customHeight="1" x14ac:dyDescent="0.35">
      <c r="C80" s="391"/>
      <c r="D80" s="383"/>
    </row>
    <row r="81" spans="2:4" ht="15" customHeight="1" x14ac:dyDescent="0.35">
      <c r="B81" s="392" t="s">
        <v>245</v>
      </c>
      <c r="C81" s="393">
        <v>0</v>
      </c>
      <c r="D81" s="393">
        <v>0</v>
      </c>
    </row>
    <row r="82" spans="2:4" ht="15" customHeight="1" x14ac:dyDescent="0.35">
      <c r="B82" s="392" t="s">
        <v>246</v>
      </c>
      <c r="C82" s="393">
        <v>0</v>
      </c>
      <c r="D82" s="393">
        <v>0</v>
      </c>
    </row>
    <row r="83" spans="2:4" ht="15" customHeight="1" x14ac:dyDescent="0.35">
      <c r="B83" s="392" t="s">
        <v>32</v>
      </c>
      <c r="C83" s="393">
        <f>C79-C40</f>
        <v>0</v>
      </c>
      <c r="D83" s="393">
        <f>D79-D40</f>
        <v>0</v>
      </c>
    </row>
    <row r="84" spans="2:4" ht="15" customHeight="1" x14ac:dyDescent="0.35">
      <c r="C84" s="383"/>
      <c r="D84" s="383"/>
    </row>
    <row r="85" spans="2:4" ht="15" customHeight="1" x14ac:dyDescent="0.35">
      <c r="B85" s="1" t="s">
        <v>385</v>
      </c>
      <c r="C85" s="391">
        <f>C76*1000/658883304</f>
        <v>26.37817636975667</v>
      </c>
      <c r="D85" s="391">
        <f>D76*1000/658883304</f>
        <v>24.552833410390985</v>
      </c>
    </row>
    <row r="86" spans="2:4" ht="15" customHeight="1" x14ac:dyDescent="0.35">
      <c r="C86" s="383"/>
      <c r="D86" s="383"/>
    </row>
  </sheetData>
  <mergeCells count="2">
    <mergeCell ref="C9:D9"/>
    <mergeCell ref="C42:D42"/>
  </mergeCells>
  <hyperlinks>
    <hyperlink ref="F3" location="Menu!A1" display="→Menu←" xr:uid="{253A3A19-AE57-4E59-BE87-36FC036659E4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B039-9A4A-4248-B8DF-FED85097A65B}">
  <sheetPr>
    <tabColor theme="9" tint="0.79998168889431442"/>
  </sheetPr>
  <dimension ref="A1:R137"/>
  <sheetViews>
    <sheetView showGridLines="0" tabSelected="1" zoomScale="70" zoomScaleNormal="70" workbookViewId="0">
      <pane xSplit="1" ySplit="10" topLeftCell="B11" activePane="bottomRight" state="frozen"/>
      <selection activeCell="K14" sqref="K14"/>
      <selection pane="topRight" activeCell="K14" sqref="K14"/>
      <selection pane="bottomLeft" activeCell="K14" sqref="K14"/>
      <selection pane="bottomRight" activeCell="B19" sqref="B19"/>
    </sheetView>
  </sheetViews>
  <sheetFormatPr defaultColWidth="0" defaultRowHeight="0" customHeight="1" zeroHeight="1" x14ac:dyDescent="0.25"/>
  <cols>
    <col min="1" max="1" width="0.90625" style="230" customWidth="1"/>
    <col min="2" max="2" width="82.36328125" style="230" customWidth="1"/>
    <col min="3" max="3" width="15.81640625" style="230" customWidth="1"/>
    <col min="4" max="4" width="15.81640625" style="405" customWidth="1"/>
    <col min="5" max="5" width="5.81640625" style="230" customWidth="1"/>
    <col min="6" max="12" width="0" style="230" hidden="1" customWidth="1"/>
    <col min="13" max="17" width="8.81640625" style="230" hidden="1" customWidth="1"/>
    <col min="18" max="18" width="0" style="230" hidden="1" customWidth="1"/>
    <col min="19" max="16384" width="8.81640625" style="230" hidden="1"/>
  </cols>
  <sheetData>
    <row r="1" spans="1:17" s="9" customFormat="1" ht="3.5" customHeight="1" thickBot="1" x14ac:dyDescent="0.35">
      <c r="C1" s="227"/>
      <c r="D1" s="227"/>
      <c r="E1" s="227"/>
    </row>
    <row r="2" spans="1:17" s="9" customFormat="1" ht="14" x14ac:dyDescent="0.3">
      <c r="A2" s="149"/>
      <c r="B2" s="150"/>
      <c r="C2" s="151"/>
      <c r="D2" s="151"/>
      <c r="E2" s="151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s="9" customFormat="1" ht="14" x14ac:dyDescent="0.3">
      <c r="A3" s="149"/>
      <c r="B3" s="155"/>
      <c r="C3" s="156" t="s">
        <v>0</v>
      </c>
      <c r="D3" s="157">
        <v>45291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9"/>
    </row>
    <row r="4" spans="1:17" s="9" customFormat="1" ht="14" x14ac:dyDescent="0.3">
      <c r="A4" s="149"/>
      <c r="B4" s="155"/>
      <c r="C4" s="156" t="s">
        <v>2</v>
      </c>
      <c r="D4" s="160" t="s">
        <v>403</v>
      </c>
      <c r="E4" s="161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9"/>
    </row>
    <row r="5" spans="1:17" s="9" customFormat="1" ht="14.5" thickBot="1" x14ac:dyDescent="0.35">
      <c r="A5" s="149"/>
      <c r="B5" s="162"/>
      <c r="C5" s="163"/>
      <c r="D5" s="163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</row>
    <row r="6" spans="1:17" ht="12.5" x14ac:dyDescent="0.25">
      <c r="D6" s="230"/>
    </row>
    <row r="7" spans="1:17" s="9" customFormat="1" ht="15" customHeight="1" x14ac:dyDescent="0.3">
      <c r="B7" s="228" t="s">
        <v>4</v>
      </c>
      <c r="C7" s="229"/>
      <c r="D7" s="229"/>
      <c r="E7" s="229"/>
    </row>
    <row r="8" spans="1:17" s="9" customFormat="1" ht="15" customHeight="1" thickBot="1" x14ac:dyDescent="0.35">
      <c r="B8" s="401"/>
      <c r="C8" s="402"/>
      <c r="D8" s="402"/>
      <c r="E8" s="402"/>
    </row>
    <row r="9" spans="1:17" ht="17" customHeight="1" thickBot="1" x14ac:dyDescent="0.3">
      <c r="B9" s="27" t="s">
        <v>133</v>
      </c>
      <c r="C9" s="426" t="s">
        <v>34</v>
      </c>
      <c r="D9" s="428"/>
    </row>
    <row r="10" spans="1:17" ht="17" customHeight="1" thickBot="1" x14ac:dyDescent="0.3">
      <c r="B10" s="98" t="s">
        <v>67</v>
      </c>
      <c r="C10" s="270" t="s">
        <v>405</v>
      </c>
      <c r="D10" s="396" t="s">
        <v>406</v>
      </c>
    </row>
    <row r="11" spans="1:17" ht="16.75" customHeight="1" thickBot="1" x14ac:dyDescent="0.4">
      <c r="B11" s="92" t="s">
        <v>134</v>
      </c>
      <c r="C11" s="233">
        <f>SUM(C12:C29)</f>
        <v>-3141130.9216400003</v>
      </c>
      <c r="D11" s="233">
        <f>SUM(D12:D29)</f>
        <v>-2349075.5574224996</v>
      </c>
    </row>
    <row r="12" spans="1:17" ht="16.75" customHeight="1" x14ac:dyDescent="0.25">
      <c r="B12" s="81" t="s">
        <v>135</v>
      </c>
      <c r="C12" s="234">
        <v>2892362</v>
      </c>
      <c r="D12" s="234">
        <v>1759349.8462275006</v>
      </c>
    </row>
    <row r="13" spans="1:17" ht="16.75" customHeight="1" x14ac:dyDescent="0.25">
      <c r="B13" s="81" t="s">
        <v>136</v>
      </c>
      <c r="C13" s="234">
        <v>23755.034729999999</v>
      </c>
      <c r="D13" s="234">
        <v>47178.867760000001</v>
      </c>
    </row>
    <row r="14" spans="1:17" ht="16.75" customHeight="1" x14ac:dyDescent="0.25">
      <c r="B14" s="81" t="s">
        <v>386</v>
      </c>
      <c r="C14" s="234">
        <v>24889</v>
      </c>
      <c r="D14" s="234">
        <v>20268</v>
      </c>
    </row>
    <row r="15" spans="1:17" ht="16.75" customHeight="1" x14ac:dyDescent="0.25">
      <c r="B15" s="81" t="s">
        <v>138</v>
      </c>
      <c r="C15" s="234">
        <v>184773</v>
      </c>
      <c r="D15" s="234">
        <v>133663</v>
      </c>
    </row>
    <row r="16" spans="1:17" ht="16.75" customHeight="1" x14ac:dyDescent="0.25">
      <c r="B16" s="81" t="s">
        <v>387</v>
      </c>
      <c r="C16" s="234">
        <v>164105.47972999999</v>
      </c>
      <c r="D16" s="234">
        <v>285827</v>
      </c>
    </row>
    <row r="17" spans="2:4" ht="16.75" customHeight="1" x14ac:dyDescent="0.25">
      <c r="B17" s="81" t="s">
        <v>388</v>
      </c>
      <c r="C17" s="234">
        <v>1940</v>
      </c>
      <c r="D17" s="234">
        <v>2605</v>
      </c>
    </row>
    <row r="18" spans="2:4" ht="16.75" customHeight="1" x14ac:dyDescent="0.25">
      <c r="B18" s="81" t="s">
        <v>389</v>
      </c>
      <c r="C18" s="234">
        <v>-118</v>
      </c>
      <c r="D18" s="234">
        <v>-4335</v>
      </c>
    </row>
    <row r="19" spans="2:4" ht="16.75" customHeight="1" x14ac:dyDescent="0.25">
      <c r="B19" s="81" t="s">
        <v>390</v>
      </c>
      <c r="C19" s="234">
        <v>37</v>
      </c>
      <c r="D19" s="234">
        <v>27</v>
      </c>
    </row>
    <row r="20" spans="2:4" ht="16.75" customHeight="1" x14ac:dyDescent="0.25">
      <c r="B20" s="81" t="s">
        <v>147</v>
      </c>
      <c r="C20" s="234">
        <v>-61478.982629999999</v>
      </c>
      <c r="D20" s="234">
        <v>-39634.663149999993</v>
      </c>
    </row>
    <row r="21" spans="2:4" ht="16.75" customHeight="1" x14ac:dyDescent="0.25">
      <c r="B21" s="81" t="s">
        <v>148</v>
      </c>
      <c r="C21" s="234">
        <v>1018114</v>
      </c>
      <c r="D21" s="234">
        <v>733797</v>
      </c>
    </row>
    <row r="22" spans="2:4" ht="16.75" customHeight="1" x14ac:dyDescent="0.25">
      <c r="B22" s="81" t="s">
        <v>391</v>
      </c>
      <c r="C22" s="234">
        <v>7640.0625299999992</v>
      </c>
      <c r="D22" s="234">
        <v>11345.157939999999</v>
      </c>
    </row>
    <row r="23" spans="2:4" ht="16.75" customHeight="1" x14ac:dyDescent="0.25">
      <c r="B23" s="81" t="s">
        <v>146</v>
      </c>
      <c r="C23" s="234">
        <v>-489317.516</v>
      </c>
      <c r="D23" s="234">
        <v>-454589</v>
      </c>
    </row>
    <row r="24" spans="2:4" ht="16.75" customHeight="1" x14ac:dyDescent="0.25">
      <c r="B24" s="81" t="s">
        <v>392</v>
      </c>
      <c r="C24" s="234">
        <v>-4388</v>
      </c>
      <c r="D24" s="234">
        <v>-3389</v>
      </c>
    </row>
    <row r="25" spans="2:4" ht="16.75" customHeight="1" x14ac:dyDescent="0.25">
      <c r="B25" s="81" t="s">
        <v>393</v>
      </c>
      <c r="C25" s="234">
        <v>-6870056</v>
      </c>
      <c r="D25" s="234">
        <v>-4811994</v>
      </c>
    </row>
    <row r="26" spans="2:4" ht="16.75" customHeight="1" x14ac:dyDescent="0.25">
      <c r="B26" s="81" t="s">
        <v>394</v>
      </c>
      <c r="C26" s="234">
        <v>0</v>
      </c>
      <c r="D26" s="234">
        <v>-9563</v>
      </c>
    </row>
    <row r="27" spans="2:4" ht="16.75" customHeight="1" x14ac:dyDescent="0.25">
      <c r="B27" s="81" t="s">
        <v>395</v>
      </c>
      <c r="C27" s="234">
        <v>24242</v>
      </c>
      <c r="D27" s="234">
        <v>18181</v>
      </c>
    </row>
    <row r="28" spans="2:4" ht="16.75" customHeight="1" x14ac:dyDescent="0.25">
      <c r="B28" s="81" t="s">
        <v>396</v>
      </c>
      <c r="C28" s="234">
        <v>-6385</v>
      </c>
      <c r="D28" s="234">
        <v>1821</v>
      </c>
    </row>
    <row r="29" spans="2:4" ht="16.75" customHeight="1" thickBot="1" x14ac:dyDescent="0.3">
      <c r="B29" s="81" t="s">
        <v>150</v>
      </c>
      <c r="C29" s="234">
        <v>-51245</v>
      </c>
      <c r="D29" s="234">
        <v>-39633.766199999998</v>
      </c>
    </row>
    <row r="30" spans="2:4" ht="16.75" customHeight="1" thickBot="1" x14ac:dyDescent="0.4">
      <c r="B30" s="92" t="s">
        <v>151</v>
      </c>
      <c r="C30" s="233" t="e">
        <f>SUM(C31:C39)</f>
        <v>#N/A</v>
      </c>
      <c r="D30" s="233" t="e">
        <f>SUM(D31:D39)</f>
        <v>#N/A</v>
      </c>
    </row>
    <row r="31" spans="2:4" ht="16.75" customHeight="1" x14ac:dyDescent="0.25">
      <c r="B31" s="81" t="s">
        <v>152</v>
      </c>
      <c r="C31" s="234">
        <v>10064</v>
      </c>
      <c r="D31" s="234">
        <v>3489</v>
      </c>
    </row>
    <row r="32" spans="2:4" ht="16.75" customHeight="1" x14ac:dyDescent="0.25">
      <c r="B32" s="81" t="s">
        <v>397</v>
      </c>
      <c r="C32" s="234" t="e">
        <v>#N/A</v>
      </c>
      <c r="D32" s="234" t="e">
        <v>#N/A</v>
      </c>
    </row>
    <row r="33" spans="2:4" ht="16.75" customHeight="1" x14ac:dyDescent="0.25">
      <c r="B33" s="81" t="s">
        <v>154</v>
      </c>
      <c r="C33" s="234">
        <v>-160355</v>
      </c>
      <c r="D33" s="234">
        <v>-41646</v>
      </c>
    </row>
    <row r="34" spans="2:4" ht="16.75" customHeight="1" x14ac:dyDescent="0.25">
      <c r="B34" s="81" t="s">
        <v>155</v>
      </c>
      <c r="C34" s="234">
        <v>-195807</v>
      </c>
      <c r="D34" s="234">
        <v>-143787</v>
      </c>
    </row>
    <row r="35" spans="2:4" ht="16.75" customHeight="1" x14ac:dyDescent="0.25">
      <c r="B35" s="81" t="s">
        <v>156</v>
      </c>
      <c r="C35" s="234">
        <v>-154495</v>
      </c>
      <c r="D35" s="234">
        <v>-89215</v>
      </c>
    </row>
    <row r="36" spans="2:4" ht="16.75" customHeight="1" x14ac:dyDescent="0.25">
      <c r="B36" s="81" t="s">
        <v>158</v>
      </c>
      <c r="C36" s="234">
        <v>102.52769999999987</v>
      </c>
      <c r="D36" s="234">
        <v>4440.0220399999998</v>
      </c>
    </row>
    <row r="37" spans="2:4" ht="16.75" customHeight="1" x14ac:dyDescent="0.25">
      <c r="B37" s="81" t="s">
        <v>157</v>
      </c>
      <c r="C37" s="234">
        <v>-5825</v>
      </c>
      <c r="D37" s="234">
        <v>-8604</v>
      </c>
    </row>
    <row r="38" spans="2:4" ht="16.75" customHeight="1" x14ac:dyDescent="0.25">
      <c r="B38" s="81" t="s">
        <v>159</v>
      </c>
      <c r="C38" s="234">
        <v>0</v>
      </c>
      <c r="D38" s="234">
        <v>57.845500000024913</v>
      </c>
    </row>
    <row r="39" spans="2:4" ht="16.75" customHeight="1" thickBot="1" x14ac:dyDescent="0.3">
      <c r="B39" s="81" t="s">
        <v>160</v>
      </c>
      <c r="C39" s="234">
        <v>-152279.80869999997</v>
      </c>
      <c r="D39" s="234">
        <v>4854</v>
      </c>
    </row>
    <row r="40" spans="2:4" ht="16.75" customHeight="1" thickBot="1" x14ac:dyDescent="0.4">
      <c r="B40" s="92" t="s">
        <v>161</v>
      </c>
      <c r="C40" s="233" t="e">
        <f>SUM(C41:C51)</f>
        <v>#N/A</v>
      </c>
      <c r="D40" s="233" t="e">
        <f>SUM(D41:D51)</f>
        <v>#N/A</v>
      </c>
    </row>
    <row r="41" spans="2:4" ht="16.75" customHeight="1" x14ac:dyDescent="0.25">
      <c r="B41" s="81" t="s">
        <v>162</v>
      </c>
      <c r="C41" s="234">
        <v>62119</v>
      </c>
      <c r="D41" s="234">
        <v>60771.76939999999</v>
      </c>
    </row>
    <row r="42" spans="2:4" ht="16.75" customHeight="1" x14ac:dyDescent="0.25">
      <c r="B42" s="81" t="s">
        <v>164</v>
      </c>
      <c r="C42" s="234">
        <v>-133778.50297999996</v>
      </c>
      <c r="D42" s="234">
        <v>272615.24043000001</v>
      </c>
    </row>
    <row r="43" spans="2:4" ht="16.75" customHeight="1" x14ac:dyDescent="0.25">
      <c r="B43" s="81" t="s">
        <v>398</v>
      </c>
      <c r="C43" s="234">
        <v>-166232.52042000004</v>
      </c>
      <c r="D43" s="234">
        <v>-77672.24043000002</v>
      </c>
    </row>
    <row r="44" spans="2:4" ht="16.75" customHeight="1" x14ac:dyDescent="0.25">
      <c r="B44" s="81" t="s">
        <v>165</v>
      </c>
      <c r="C44" s="234">
        <v>10130</v>
      </c>
      <c r="D44" s="234">
        <v>6521</v>
      </c>
    </row>
    <row r="45" spans="2:4" ht="16.75" customHeight="1" x14ac:dyDescent="0.25">
      <c r="B45" s="81" t="s">
        <v>168</v>
      </c>
      <c r="C45" s="234">
        <v>1508.8509200000001</v>
      </c>
      <c r="D45" s="234">
        <v>8445.0614800000003</v>
      </c>
    </row>
    <row r="46" spans="2:4" ht="16.75" customHeight="1" x14ac:dyDescent="0.25">
      <c r="B46" s="81" t="s">
        <v>399</v>
      </c>
      <c r="C46" s="234">
        <v>-27130.716850000001</v>
      </c>
      <c r="D46" s="234">
        <v>0</v>
      </c>
    </row>
    <row r="47" spans="2:4" ht="16.75" customHeight="1" x14ac:dyDescent="0.25">
      <c r="B47" s="81" t="s">
        <v>400</v>
      </c>
      <c r="C47" s="234" t="e">
        <v>#N/A</v>
      </c>
      <c r="D47" s="234" t="e">
        <v>#N/A</v>
      </c>
    </row>
    <row r="48" spans="2:4" ht="16.75" customHeight="1" x14ac:dyDescent="0.25">
      <c r="B48" s="81" t="s">
        <v>169</v>
      </c>
      <c r="C48" s="234">
        <v>-24281</v>
      </c>
      <c r="D48" s="234">
        <v>-15984</v>
      </c>
    </row>
    <row r="49" spans="2:4" ht="16.75" customHeight="1" x14ac:dyDescent="0.25">
      <c r="B49" s="81" t="s">
        <v>170</v>
      </c>
      <c r="C49" s="234">
        <v>-92</v>
      </c>
      <c r="D49" s="234">
        <v>89</v>
      </c>
    </row>
    <row r="50" spans="2:4" ht="16.75" customHeight="1" x14ac:dyDescent="0.25">
      <c r="B50" s="81" t="s">
        <v>171</v>
      </c>
      <c r="C50" s="234">
        <v>-2480</v>
      </c>
      <c r="D50" s="234">
        <v>-1861</v>
      </c>
    </row>
    <row r="51" spans="2:4" ht="16.75" customHeight="1" thickBot="1" x14ac:dyDescent="0.3">
      <c r="B51" s="81" t="s">
        <v>42</v>
      </c>
      <c r="C51" s="234">
        <v>37587</v>
      </c>
      <c r="D51" s="234">
        <v>4606.7585399999998</v>
      </c>
    </row>
    <row r="52" spans="2:4" ht="16.75" customHeight="1" thickBot="1" x14ac:dyDescent="0.4">
      <c r="B52" s="86" t="s">
        <v>174</v>
      </c>
      <c r="C52" s="235" t="e">
        <f>SUM(C11,C30,C40)</f>
        <v>#N/A</v>
      </c>
      <c r="D52" s="235" t="e">
        <f>SUM(D11,D30,D40)</f>
        <v>#N/A</v>
      </c>
    </row>
    <row r="53" spans="2:4" ht="16.75" customHeight="1" thickBot="1" x14ac:dyDescent="0.4">
      <c r="B53" s="92" t="s">
        <v>175</v>
      </c>
      <c r="C53" s="233" t="e">
        <f>SUM(C54:C59)</f>
        <v>#N/A</v>
      </c>
      <c r="D53" s="233" t="e">
        <f>SUM(D54:D59)</f>
        <v>#N/A</v>
      </c>
    </row>
    <row r="54" spans="2:4" ht="16.75" customHeight="1" x14ac:dyDescent="0.25">
      <c r="B54" s="81" t="s">
        <v>176</v>
      </c>
      <c r="C54" s="234">
        <v>-2985529.01737</v>
      </c>
      <c r="D54" s="234">
        <v>-1840231.3368500001</v>
      </c>
    </row>
    <row r="55" spans="2:4" ht="16.75" customHeight="1" x14ac:dyDescent="0.25">
      <c r="B55" s="81" t="s">
        <v>177</v>
      </c>
      <c r="C55" s="234">
        <v>2480669</v>
      </c>
      <c r="D55" s="234">
        <v>1613597</v>
      </c>
    </row>
    <row r="56" spans="2:4" ht="16.75" customHeight="1" x14ac:dyDescent="0.25">
      <c r="B56" s="81" t="s">
        <v>401</v>
      </c>
      <c r="C56" s="234">
        <v>-36484</v>
      </c>
      <c r="D56" s="234">
        <v>-7093</v>
      </c>
    </row>
    <row r="57" spans="2:4" ht="16.75" customHeight="1" x14ac:dyDescent="0.25">
      <c r="B57" s="81" t="s">
        <v>402</v>
      </c>
      <c r="C57" s="234" t="e">
        <v>#N/A</v>
      </c>
      <c r="D57" s="234" t="e">
        <v>#N/A</v>
      </c>
    </row>
    <row r="58" spans="2:4" ht="16.75" customHeight="1" x14ac:dyDescent="0.25">
      <c r="B58" s="81" t="s">
        <v>137</v>
      </c>
      <c r="C58" s="234">
        <v>0</v>
      </c>
      <c r="D58" s="234">
        <v>-93500</v>
      </c>
    </row>
    <row r="59" spans="2:4" ht="16.75" customHeight="1" thickBot="1" x14ac:dyDescent="0.3">
      <c r="B59" s="81" t="s">
        <v>179</v>
      </c>
      <c r="C59" s="234">
        <v>244439.33769999997</v>
      </c>
      <c r="D59" s="234">
        <v>0</v>
      </c>
    </row>
    <row r="60" spans="2:4" ht="16.75" customHeight="1" thickBot="1" x14ac:dyDescent="0.4">
      <c r="B60" s="92" t="s">
        <v>180</v>
      </c>
      <c r="C60" s="233">
        <f>SUM(C61:C66)</f>
        <v>-374161.80349000002</v>
      </c>
      <c r="D60" s="233">
        <f>SUM(D61:D66)</f>
        <v>-158673</v>
      </c>
    </row>
    <row r="61" spans="2:4" ht="16.75" customHeight="1" x14ac:dyDescent="0.25">
      <c r="B61" s="81" t="s">
        <v>181</v>
      </c>
      <c r="C61" s="234">
        <v>2467412</v>
      </c>
      <c r="D61" s="234">
        <v>926960</v>
      </c>
    </row>
    <row r="62" spans="2:4" ht="16.75" customHeight="1" x14ac:dyDescent="0.25">
      <c r="B62" s="81" t="s">
        <v>182</v>
      </c>
      <c r="C62" s="234">
        <v>-1311578</v>
      </c>
      <c r="D62" s="234">
        <v>-735478</v>
      </c>
    </row>
    <row r="63" spans="2:4" ht="16.75" customHeight="1" x14ac:dyDescent="0.25">
      <c r="B63" s="81" t="s">
        <v>183</v>
      </c>
      <c r="C63" s="234">
        <v>-916093</v>
      </c>
      <c r="D63" s="234">
        <v>-223990</v>
      </c>
    </row>
    <row r="64" spans="2:4" ht="16.75" customHeight="1" x14ac:dyDescent="0.25">
      <c r="B64" s="81" t="s">
        <v>184</v>
      </c>
      <c r="C64" s="234">
        <v>-14344</v>
      </c>
      <c r="D64" s="234">
        <v>-10416</v>
      </c>
    </row>
    <row r="65" spans="2:4" ht="16.75" customHeight="1" x14ac:dyDescent="0.25">
      <c r="B65" s="81" t="s">
        <v>186</v>
      </c>
      <c r="C65" s="234">
        <v>-1801.8168500000002</v>
      </c>
      <c r="D65" s="234">
        <v>-18028</v>
      </c>
    </row>
    <row r="66" spans="2:4" ht="16.75" customHeight="1" thickBot="1" x14ac:dyDescent="0.3">
      <c r="B66" s="81" t="s">
        <v>188</v>
      </c>
      <c r="C66" s="234">
        <v>-597756.98664000002</v>
      </c>
      <c r="D66" s="234">
        <v>-97721</v>
      </c>
    </row>
    <row r="67" spans="2:4" ht="16.75" customHeight="1" thickBot="1" x14ac:dyDescent="0.4">
      <c r="B67" s="92" t="s">
        <v>189</v>
      </c>
      <c r="C67" s="233" t="e">
        <f>SUM(C60,C52,C53)</f>
        <v>#N/A</v>
      </c>
      <c r="D67" s="233" t="e">
        <f>SUM(D60,D52,D53)</f>
        <v>#N/A</v>
      </c>
    </row>
    <row r="68" spans="2:4" ht="16.75" customHeight="1" x14ac:dyDescent="0.25">
      <c r="B68" s="81" t="s">
        <v>190</v>
      </c>
      <c r="C68" s="234">
        <v>336523.49816999992</v>
      </c>
      <c r="D68" s="234">
        <v>282632</v>
      </c>
    </row>
    <row r="69" spans="2:4" ht="16.75" customHeight="1" thickBot="1" x14ac:dyDescent="0.3">
      <c r="B69" s="81" t="s">
        <v>191</v>
      </c>
      <c r="C69" s="234">
        <v>245819</v>
      </c>
      <c r="D69" s="234">
        <v>168236</v>
      </c>
    </row>
    <row r="70" spans="2:4" ht="16.75" customHeight="1" thickBot="1" x14ac:dyDescent="0.4">
      <c r="B70" s="86" t="s">
        <v>192</v>
      </c>
      <c r="C70" s="235">
        <f>C69-C68</f>
        <v>-90704.498169999919</v>
      </c>
      <c r="D70" s="235">
        <f>D69-D68</f>
        <v>-114396</v>
      </c>
    </row>
    <row r="71" spans="2:4" ht="17" customHeight="1" x14ac:dyDescent="0.25">
      <c r="C71" s="403"/>
      <c r="D71" s="403"/>
    </row>
    <row r="72" spans="2:4" ht="17" customHeight="1" x14ac:dyDescent="0.25">
      <c r="B72" s="239" t="s">
        <v>32</v>
      </c>
      <c r="C72" s="404">
        <f>C68-'DFC Reg'!C66</f>
        <v>0.49816999991890043</v>
      </c>
      <c r="D72" s="404">
        <f>D68-'DFC Reg'!D66</f>
        <v>0</v>
      </c>
    </row>
    <row r="73" spans="2:4" ht="17" customHeight="1" x14ac:dyDescent="0.25">
      <c r="B73" s="239" t="s">
        <v>32</v>
      </c>
      <c r="C73" s="404">
        <f>C69-'DFC Reg'!C67</f>
        <v>0</v>
      </c>
      <c r="D73" s="404">
        <v>0</v>
      </c>
    </row>
    <row r="74" spans="2:4" ht="17" customHeight="1" x14ac:dyDescent="0.25">
      <c r="B74" s="239" t="s">
        <v>32</v>
      </c>
      <c r="C74" s="404">
        <f>C69-'Balanço IFRS'!C12</f>
        <v>0</v>
      </c>
      <c r="D74" s="404">
        <v>0</v>
      </c>
    </row>
    <row r="75" spans="2:4" ht="17" customHeight="1" x14ac:dyDescent="0.25">
      <c r="B75" s="239" t="s">
        <v>32</v>
      </c>
      <c r="C75" s="404" t="e">
        <f>C70-C67</f>
        <v>#N/A</v>
      </c>
      <c r="D75" s="404" t="e">
        <f>D70-D67</f>
        <v>#N/A</v>
      </c>
    </row>
    <row r="76" spans="2:4" ht="17" customHeight="1" x14ac:dyDescent="0.25">
      <c r="C76" s="403"/>
      <c r="D76" s="403"/>
    </row>
    <row r="77" spans="2:4" ht="17" customHeight="1" x14ac:dyDescent="0.25">
      <c r="C77" s="403"/>
      <c r="D77" s="403"/>
    </row>
    <row r="78" spans="2:4" ht="17" customHeight="1" x14ac:dyDescent="0.25">
      <c r="C78" s="403"/>
      <c r="D78" s="403"/>
    </row>
    <row r="79" spans="2:4" ht="17" customHeight="1" x14ac:dyDescent="0.25">
      <c r="C79" s="403"/>
      <c r="D79" s="403"/>
    </row>
    <row r="80" spans="2:4" ht="17" customHeight="1" x14ac:dyDescent="0.25">
      <c r="C80" s="403"/>
      <c r="D80" s="403"/>
    </row>
    <row r="81" spans="3:4" ht="17" customHeight="1" x14ac:dyDescent="0.25">
      <c r="C81" s="403"/>
      <c r="D81" s="403"/>
    </row>
    <row r="82" spans="3:4" ht="17" customHeight="1" x14ac:dyDescent="0.25">
      <c r="C82" s="403"/>
      <c r="D82" s="403"/>
    </row>
    <row r="83" spans="3:4" ht="17" customHeight="1" x14ac:dyDescent="0.25">
      <c r="C83" s="403"/>
      <c r="D83" s="403"/>
    </row>
    <row r="84" spans="3:4" ht="17" customHeight="1" x14ac:dyDescent="0.25">
      <c r="C84" s="403"/>
      <c r="D84" s="403"/>
    </row>
    <row r="85" spans="3:4" ht="17" customHeight="1" x14ac:dyDescent="0.25">
      <c r="C85" s="403"/>
      <c r="D85" s="403"/>
    </row>
    <row r="86" spans="3:4" ht="17" customHeight="1" x14ac:dyDescent="0.25">
      <c r="C86" s="403"/>
      <c r="D86" s="403"/>
    </row>
    <row r="87" spans="3:4" ht="17" customHeight="1" x14ac:dyDescent="0.25">
      <c r="C87" s="403"/>
      <c r="D87" s="403"/>
    </row>
    <row r="88" spans="3:4" ht="17" customHeight="1" x14ac:dyDescent="0.25">
      <c r="C88" s="403"/>
      <c r="D88" s="403"/>
    </row>
    <row r="89" spans="3:4" ht="17" customHeight="1" x14ac:dyDescent="0.25">
      <c r="C89" s="403"/>
      <c r="D89" s="403"/>
    </row>
    <row r="90" spans="3:4" ht="17" customHeight="1" x14ac:dyDescent="0.25">
      <c r="C90" s="238"/>
      <c r="D90" s="238"/>
    </row>
    <row r="91" spans="3:4" ht="17" customHeight="1" x14ac:dyDescent="0.25">
      <c r="C91" s="238"/>
      <c r="D91" s="238"/>
    </row>
    <row r="92" spans="3:4" ht="17" customHeight="1" x14ac:dyDescent="0.25">
      <c r="C92" s="238"/>
      <c r="D92" s="238"/>
    </row>
    <row r="93" spans="3:4" ht="17" customHeight="1" x14ac:dyDescent="0.25">
      <c r="C93" s="238"/>
      <c r="D93" s="238"/>
    </row>
    <row r="94" spans="3:4" ht="17" customHeight="1" x14ac:dyDescent="0.25">
      <c r="C94" s="238"/>
      <c r="D94" s="238"/>
    </row>
    <row r="95" spans="3:4" ht="17" customHeight="1" x14ac:dyDescent="0.25">
      <c r="C95" s="238"/>
      <c r="D95" s="238"/>
    </row>
    <row r="96" spans="3:4" ht="17" customHeight="1" x14ac:dyDescent="0.25">
      <c r="C96" s="238"/>
      <c r="D96" s="238"/>
    </row>
    <row r="97" spans="3:4" ht="17" customHeight="1" x14ac:dyDescent="0.25">
      <c r="C97" s="238"/>
      <c r="D97" s="238"/>
    </row>
    <row r="98" spans="3:4" ht="17" customHeight="1" x14ac:dyDescent="0.25">
      <c r="C98" s="238"/>
      <c r="D98" s="238"/>
    </row>
    <row r="99" spans="3:4" ht="17" customHeight="1" x14ac:dyDescent="0.25">
      <c r="C99" s="238"/>
      <c r="D99" s="238"/>
    </row>
    <row r="100" spans="3:4" ht="17" customHeight="1" x14ac:dyDescent="0.25">
      <c r="C100" s="238"/>
      <c r="D100" s="238"/>
    </row>
    <row r="101" spans="3:4" ht="17" customHeight="1" x14ac:dyDescent="0.25">
      <c r="C101" s="238"/>
      <c r="D101" s="238"/>
    </row>
    <row r="102" spans="3:4" ht="17" customHeight="1" x14ac:dyDescent="0.25">
      <c r="C102" s="238"/>
      <c r="D102" s="238"/>
    </row>
    <row r="103" spans="3:4" ht="17" customHeight="1" x14ac:dyDescent="0.25">
      <c r="C103" s="238"/>
      <c r="D103" s="238"/>
    </row>
    <row r="104" spans="3:4" ht="17" customHeight="1" x14ac:dyDescent="0.25">
      <c r="C104" s="238"/>
      <c r="D104" s="238"/>
    </row>
    <row r="105" spans="3:4" ht="17" customHeight="1" x14ac:dyDescent="0.25">
      <c r="C105" s="238"/>
      <c r="D105" s="238"/>
    </row>
    <row r="106" spans="3:4" ht="17" customHeight="1" x14ac:dyDescent="0.25">
      <c r="C106" s="238"/>
      <c r="D106" s="238"/>
    </row>
    <row r="107" spans="3:4" ht="17" customHeight="1" x14ac:dyDescent="0.25">
      <c r="C107" s="238"/>
      <c r="D107" s="238"/>
    </row>
    <row r="108" spans="3:4" ht="17" customHeight="1" x14ac:dyDescent="0.25">
      <c r="C108" s="238"/>
      <c r="D108" s="238"/>
    </row>
    <row r="109" spans="3:4" ht="17" customHeight="1" x14ac:dyDescent="0.25">
      <c r="C109" s="238"/>
      <c r="D109" s="238"/>
    </row>
    <row r="110" spans="3:4" ht="17" customHeight="1" x14ac:dyDescent="0.25">
      <c r="C110" s="238"/>
      <c r="D110" s="238"/>
    </row>
    <row r="111" spans="3:4" ht="17" customHeight="1" x14ac:dyDescent="0.25">
      <c r="C111" s="238"/>
      <c r="D111" s="238"/>
    </row>
    <row r="112" spans="3:4" ht="17" customHeight="1" x14ac:dyDescent="0.25">
      <c r="C112" s="238"/>
      <c r="D112" s="238"/>
    </row>
    <row r="113" spans="3:4" ht="17" customHeight="1" x14ac:dyDescent="0.25">
      <c r="C113" s="238"/>
      <c r="D113" s="238"/>
    </row>
    <row r="114" spans="3:4" ht="17" customHeight="1" x14ac:dyDescent="0.25">
      <c r="C114" s="238"/>
      <c r="D114" s="238"/>
    </row>
    <row r="115" spans="3:4" ht="17" customHeight="1" x14ac:dyDescent="0.25">
      <c r="C115" s="238"/>
      <c r="D115" s="238"/>
    </row>
    <row r="116" spans="3:4" ht="17" customHeight="1" x14ac:dyDescent="0.25">
      <c r="C116" s="238"/>
      <c r="D116" s="238"/>
    </row>
    <row r="117" spans="3:4" ht="17" customHeight="1" x14ac:dyDescent="0.25">
      <c r="C117" s="238"/>
      <c r="D117" s="238"/>
    </row>
    <row r="118" spans="3:4" ht="17" customHeight="1" x14ac:dyDescent="0.25">
      <c r="C118" s="238"/>
      <c r="D118" s="238"/>
    </row>
    <row r="119" spans="3:4" ht="17" customHeight="1" x14ac:dyDescent="0.25">
      <c r="C119" s="238"/>
      <c r="D119" s="238"/>
    </row>
    <row r="120" spans="3:4" ht="17" customHeight="1" x14ac:dyDescent="0.25"/>
    <row r="121" spans="3:4" ht="17" customHeight="1" x14ac:dyDescent="0.25"/>
    <row r="122" spans="3:4" ht="17" customHeight="1" x14ac:dyDescent="0.25"/>
    <row r="123" spans="3:4" ht="17" customHeight="1" x14ac:dyDescent="0.25"/>
    <row r="124" spans="3:4" ht="17" customHeight="1" x14ac:dyDescent="0.25"/>
    <row r="125" spans="3:4" ht="17" customHeight="1" x14ac:dyDescent="0.25"/>
    <row r="126" spans="3:4" ht="17" customHeight="1" x14ac:dyDescent="0.25"/>
    <row r="127" spans="3:4" ht="17" customHeight="1" x14ac:dyDescent="0.25"/>
    <row r="128" spans="3:4" ht="17" customHeight="1" x14ac:dyDescent="0.25"/>
    <row r="129" ht="17" customHeight="1" x14ac:dyDescent="0.25"/>
    <row r="130" ht="17" customHeight="1" x14ac:dyDescent="0.25"/>
    <row r="131" ht="17" customHeight="1" x14ac:dyDescent="0.25"/>
    <row r="132" ht="17" customHeight="1" x14ac:dyDescent="0.25"/>
    <row r="133" ht="17" customHeight="1" x14ac:dyDescent="0.25"/>
    <row r="134" ht="17" customHeight="1" x14ac:dyDescent="0.25"/>
    <row r="135" ht="17" customHeight="1" x14ac:dyDescent="0.25"/>
    <row r="136" ht="17" customHeight="1" x14ac:dyDescent="0.25"/>
    <row r="137" ht="17" customHeight="1" x14ac:dyDescent="0.25"/>
  </sheetData>
  <mergeCells count="1">
    <mergeCell ref="C9:D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BE25-1998-414E-9423-4DDEE9EE7E4F}">
  <sheetPr>
    <tabColor rgb="FF00B0F0"/>
  </sheetPr>
  <dimension ref="A1:AD24"/>
  <sheetViews>
    <sheetView showGridLines="0" zoomScale="70" zoomScaleNormal="70" workbookViewId="0">
      <pane xSplit="2" ySplit="5" topLeftCell="C15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0" defaultRowHeight="0" customHeight="1" zeroHeight="1" x14ac:dyDescent="0.35"/>
  <cols>
    <col min="1" max="1" width="2.7265625" style="70" customWidth="1"/>
    <col min="2" max="2" width="37.81640625" style="1" customWidth="1"/>
    <col min="3" max="8" width="11.81640625" style="1" customWidth="1"/>
    <col min="9" max="9" width="5.54296875" style="1" customWidth="1"/>
    <col min="10" max="10" width="8.90625" style="1" customWidth="1"/>
    <col min="11" max="11" width="10.08984375" style="1" customWidth="1"/>
    <col min="12" max="12" width="5.54296875" style="1" customWidth="1"/>
    <col min="13" max="13" width="8.81640625" style="1" customWidth="1"/>
    <col min="14" max="14" width="4.08984375" style="1" customWidth="1"/>
    <col min="15" max="15" width="36.81640625" style="1" customWidth="1"/>
    <col min="16" max="17" width="10.54296875" style="1" customWidth="1"/>
    <col min="18" max="18" width="10.6328125" style="1" customWidth="1"/>
    <col min="19" max="23" width="8.81640625" style="1" customWidth="1"/>
    <col min="24" max="30" width="0" style="1" hidden="1" customWidth="1"/>
    <col min="31" max="16384" width="8.81640625" style="1" hidden="1"/>
  </cols>
  <sheetData>
    <row r="1" spans="1:22" ht="3.5" customHeight="1" thickBot="1" x14ac:dyDescent="0.4">
      <c r="A1" s="1"/>
    </row>
    <row r="2" spans="1:22" s="9" customFormat="1" ht="15.5" x14ac:dyDescent="0.35">
      <c r="A2" s="3"/>
      <c r="B2" s="4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s="9" customFormat="1" ht="15.5" x14ac:dyDescent="0.35">
      <c r="A3" s="3"/>
      <c r="B3" s="10"/>
      <c r="C3" s="11" t="s">
        <v>0</v>
      </c>
      <c r="D3" s="12">
        <v>45291</v>
      </c>
      <c r="E3" s="11"/>
      <c r="F3" s="13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4"/>
    </row>
    <row r="4" spans="1:22" s="9" customFormat="1" ht="15.5" x14ac:dyDescent="0.35">
      <c r="A4" s="3"/>
      <c r="B4" s="10"/>
      <c r="C4" s="11" t="s">
        <v>2</v>
      </c>
      <c r="D4" s="15" t="s">
        <v>403</v>
      </c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/>
    </row>
    <row r="5" spans="1:22" s="9" customFormat="1" ht="16" thickBot="1" x14ac:dyDescent="0.4">
      <c r="A5" s="3"/>
      <c r="B5" s="17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1:22" ht="15.5" x14ac:dyDescent="0.35">
      <c r="A6" s="1"/>
      <c r="O6" s="406" t="s">
        <v>3</v>
      </c>
      <c r="P6" s="406"/>
      <c r="Q6" s="406"/>
      <c r="R6" s="406"/>
      <c r="S6" s="406"/>
      <c r="T6" s="406"/>
    </row>
    <row r="7" spans="1:22" ht="15" customHeight="1" x14ac:dyDescent="0.35">
      <c r="A7" s="1"/>
      <c r="B7" s="22" t="s">
        <v>4</v>
      </c>
      <c r="C7" s="23"/>
      <c r="D7" s="23"/>
      <c r="E7" s="69"/>
      <c r="F7" s="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2" ht="15" customHeight="1" thickBot="1" x14ac:dyDescent="0.4">
      <c r="M8" s="71"/>
    </row>
    <row r="9" spans="1:22" ht="18.649999999999999" customHeight="1" thickBot="1" x14ac:dyDescent="0.4">
      <c r="B9" s="27" t="s">
        <v>33</v>
      </c>
      <c r="C9" s="407" t="s">
        <v>34</v>
      </c>
      <c r="D9" s="408"/>
      <c r="E9" s="408"/>
      <c r="F9" s="408"/>
      <c r="G9" s="408"/>
      <c r="H9" s="408"/>
      <c r="M9" s="64"/>
      <c r="O9" s="27" t="s">
        <v>33</v>
      </c>
      <c r="P9" s="407" t="s">
        <v>34</v>
      </c>
      <c r="Q9" s="408"/>
      <c r="R9" s="408"/>
    </row>
    <row r="10" spans="1:22" ht="15" customHeight="1" x14ac:dyDescent="0.35">
      <c r="B10" s="72" t="s">
        <v>36</v>
      </c>
      <c r="C10" s="28" t="s">
        <v>403</v>
      </c>
      <c r="D10" s="73" t="s">
        <v>404</v>
      </c>
      <c r="E10" s="28" t="s">
        <v>8</v>
      </c>
      <c r="F10" s="28" t="s">
        <v>405</v>
      </c>
      <c r="G10" s="28" t="s">
        <v>406</v>
      </c>
      <c r="H10" s="28" t="s">
        <v>8</v>
      </c>
      <c r="J10" s="28" t="s">
        <v>10</v>
      </c>
      <c r="K10" s="28" t="s">
        <v>11</v>
      </c>
      <c r="M10" s="64"/>
      <c r="O10" s="72" t="s">
        <v>36</v>
      </c>
      <c r="P10" s="28" t="s">
        <v>403</v>
      </c>
      <c r="Q10" s="73" t="s">
        <v>407</v>
      </c>
      <c r="R10" s="28" t="s">
        <v>8</v>
      </c>
      <c r="T10" s="28" t="s">
        <v>38</v>
      </c>
    </row>
    <row r="11" spans="1:22" ht="18.649999999999999" customHeight="1" x14ac:dyDescent="0.35">
      <c r="A11" s="74">
        <v>7</v>
      </c>
      <c r="B11" s="75" t="s">
        <v>39</v>
      </c>
      <c r="C11" s="76">
        <v>-106.95724131</v>
      </c>
      <c r="D11" s="77">
        <v>-101.99871073999999</v>
      </c>
      <c r="E11" s="78">
        <f>IF(OR(AND(D11&gt;0,C11&lt;0),AND(D11&lt;0,C11&gt;0)),"n.a",IFERROR(C11/D11-1,"N.A."))</f>
        <v>4.8613659271042664E-2</v>
      </c>
      <c r="F11" s="77">
        <v>-386.01996526999994</v>
      </c>
      <c r="G11" s="77">
        <v>-348.79695477999996</v>
      </c>
      <c r="H11" s="78">
        <f>IF(OR(AND(G11&gt;0,F11&lt;0),AND(G11&lt;0,F11&gt;0)),"n.a",IFERROR(F11/G11-1,"N.A."))</f>
        <v>0.10671827829884006</v>
      </c>
      <c r="I11" s="79"/>
      <c r="J11" s="77">
        <f>C11-D11</f>
        <v>-4.9585305700000077</v>
      </c>
      <c r="K11" s="77">
        <f>F11-G11</f>
        <v>-37.223010489999979</v>
      </c>
      <c r="M11" s="64"/>
      <c r="O11" s="81" t="s">
        <v>39</v>
      </c>
      <c r="P11" s="76">
        <f>C11</f>
        <v>-106.95724131</v>
      </c>
      <c r="Q11" s="77">
        <v>-96.339241310000006</v>
      </c>
      <c r="R11" s="78">
        <f>P11/Q11-1</f>
        <v>0.11021469398781591</v>
      </c>
      <c r="S11" s="79"/>
      <c r="T11" s="77">
        <f t="shared" ref="T11:T17" si="0">P11-Q11</f>
        <v>-10.617999999999995</v>
      </c>
    </row>
    <row r="12" spans="1:22" ht="18.649999999999999" customHeight="1" x14ac:dyDescent="0.35">
      <c r="A12" s="74">
        <v>8</v>
      </c>
      <c r="B12" s="81" t="s">
        <v>40</v>
      </c>
      <c r="C12" s="76">
        <v>-8.5299999999999994</v>
      </c>
      <c r="D12" s="77">
        <v>-8.3770000000000007</v>
      </c>
      <c r="E12" s="78">
        <f t="shared" ref="E12:E22" si="1">IF(OR(AND(D12&gt;0,C12&lt;0),AND(D12&lt;0,C12&gt;0)),"n.a",IFERROR(C12/D12-1,"N.A."))</f>
        <v>1.826429509370886E-2</v>
      </c>
      <c r="F12" s="77">
        <v>-25.67</v>
      </c>
      <c r="G12" s="77">
        <v>-23.623000000000001</v>
      </c>
      <c r="H12" s="78">
        <f t="shared" ref="H12:H22" si="2">IF(OR(AND(G12&gt;0,F12&lt;0),AND(G12&lt;0,F12&gt;0)),"n.a",IFERROR(F12/G12-1,"N.A."))</f>
        <v>8.665283833552051E-2</v>
      </c>
      <c r="J12" s="77">
        <f>C12-D12</f>
        <v>-0.15299999999999869</v>
      </c>
      <c r="K12" s="77">
        <f>F12-G12</f>
        <v>-2.0470000000000006</v>
      </c>
      <c r="M12" s="64"/>
      <c r="O12" s="81" t="s">
        <v>40</v>
      </c>
      <c r="P12" s="76">
        <f>C12</f>
        <v>-8.5299999999999994</v>
      </c>
      <c r="Q12" s="77">
        <v>-5.9790000000000001</v>
      </c>
      <c r="R12" s="78">
        <f>P12/Q12-1</f>
        <v>0.426659976584713</v>
      </c>
      <c r="T12" s="77">
        <f t="shared" si="0"/>
        <v>-2.5509999999999993</v>
      </c>
    </row>
    <row r="13" spans="1:22" ht="18.649999999999999" customHeight="1" x14ac:dyDescent="0.35">
      <c r="A13" s="74">
        <v>9</v>
      </c>
      <c r="B13" s="81" t="s">
        <v>41</v>
      </c>
      <c r="C13" s="76">
        <v>-75.259187120000007</v>
      </c>
      <c r="D13" s="77">
        <v>-57.860027980000005</v>
      </c>
      <c r="E13" s="78">
        <f t="shared" si="1"/>
        <v>0.30071121199620277</v>
      </c>
      <c r="F13" s="77">
        <v>-209.14707320000002</v>
      </c>
      <c r="G13" s="77">
        <v>-174.86947893000001</v>
      </c>
      <c r="H13" s="78">
        <f t="shared" si="2"/>
        <v>0.19601816440318487</v>
      </c>
      <c r="J13" s="77">
        <f>C13-D13</f>
        <v>-17.399159140000002</v>
      </c>
      <c r="K13" s="77">
        <f>F13-G13</f>
        <v>-34.277594270000009</v>
      </c>
      <c r="M13" s="64"/>
      <c r="O13" s="81" t="s">
        <v>41</v>
      </c>
      <c r="P13" s="76">
        <f>C13</f>
        <v>-75.259187120000007</v>
      </c>
      <c r="Q13" s="77">
        <v>-47.579359600000004</v>
      </c>
      <c r="R13" s="78">
        <f>P13/Q13-1</f>
        <v>0.58176124589957712</v>
      </c>
      <c r="T13" s="77">
        <f t="shared" si="0"/>
        <v>-27.679827520000003</v>
      </c>
    </row>
    <row r="14" spans="1:22" ht="18.649999999999999" customHeight="1" thickBot="1" x14ac:dyDescent="0.4">
      <c r="A14" s="74">
        <v>11</v>
      </c>
      <c r="B14" s="82" t="s">
        <v>42</v>
      </c>
      <c r="C14" s="83">
        <v>-23.651</v>
      </c>
      <c r="D14" s="84">
        <v>-18.427999999999997</v>
      </c>
      <c r="E14" s="85">
        <f t="shared" si="1"/>
        <v>0.28342739309746046</v>
      </c>
      <c r="F14" s="84">
        <v>-91.570999999999998</v>
      </c>
      <c r="G14" s="84">
        <v>-76.905000000000001</v>
      </c>
      <c r="H14" s="85">
        <f t="shared" si="2"/>
        <v>0.19070281516156284</v>
      </c>
      <c r="J14" s="84">
        <f>C14-D14</f>
        <v>-5.2230000000000025</v>
      </c>
      <c r="K14" s="84">
        <f>F14-G14</f>
        <v>-14.665999999999997</v>
      </c>
      <c r="M14" s="64"/>
      <c r="O14" s="82" t="s">
        <v>42</v>
      </c>
      <c r="P14" s="83">
        <f>C14</f>
        <v>-23.651</v>
      </c>
      <c r="Q14" s="84">
        <v>-19.747</v>
      </c>
      <c r="R14" s="85">
        <f>P14/Q14-1</f>
        <v>0.19770091659492572</v>
      </c>
      <c r="T14" s="84">
        <f t="shared" si="0"/>
        <v>-3.9039999999999999</v>
      </c>
    </row>
    <row r="15" spans="1:22" ht="18.649999999999999" customHeight="1" thickBot="1" x14ac:dyDescent="0.4">
      <c r="A15" s="74"/>
      <c r="B15" s="86" t="s">
        <v>43</v>
      </c>
      <c r="C15" s="87">
        <f>SUM(C11:C14)</f>
        <v>-214.39742843000002</v>
      </c>
      <c r="D15" s="87">
        <f>SUM(D11:D14)</f>
        <v>-186.66373872</v>
      </c>
      <c r="E15" s="88">
        <f t="shared" si="1"/>
        <v>0.14857566820517398</v>
      </c>
      <c r="F15" s="87">
        <f>SUM(F11:F14)</f>
        <v>-712.40803846999995</v>
      </c>
      <c r="G15" s="87">
        <f>SUM(G11:G14)</f>
        <v>-624.19443370999988</v>
      </c>
      <c r="H15" s="88">
        <f t="shared" si="2"/>
        <v>0.14132392087460377</v>
      </c>
      <c r="J15" s="87">
        <f>C15-D15</f>
        <v>-27.733689710000021</v>
      </c>
      <c r="K15" s="87">
        <f>F15-G15</f>
        <v>-88.213604760000067</v>
      </c>
      <c r="M15" s="64"/>
      <c r="O15" s="86" t="s">
        <v>43</v>
      </c>
      <c r="P15" s="87">
        <f>SUM(P11:P14)</f>
        <v>-214.39742843000002</v>
      </c>
      <c r="Q15" s="87">
        <v>-169.64460091000001</v>
      </c>
      <c r="R15" s="88">
        <f>P15/Q15-1</f>
        <v>0.26380342952230063</v>
      </c>
      <c r="T15" s="87">
        <f t="shared" si="0"/>
        <v>-44.752827520000011</v>
      </c>
    </row>
    <row r="16" spans="1:22" ht="18.649999999999999" customHeight="1" x14ac:dyDescent="0.35">
      <c r="A16" s="74"/>
      <c r="B16" s="89" t="s">
        <v>35</v>
      </c>
      <c r="C16" s="90">
        <v>-3.112812879999999</v>
      </c>
      <c r="D16" s="90">
        <v>-14.860972020000004</v>
      </c>
      <c r="E16" s="91">
        <f t="shared" si="1"/>
        <v>-0.79053773361454738</v>
      </c>
      <c r="F16" s="90">
        <v>-12.831926799999998</v>
      </c>
      <c r="G16" s="90">
        <v>-9.8834092699999943</v>
      </c>
      <c r="H16" s="91">
        <f t="shared" si="2"/>
        <v>0.29833000429820355</v>
      </c>
      <c r="J16" s="90">
        <f t="shared" ref="J16:J22" si="3">C16-D16</f>
        <v>11.748159140000006</v>
      </c>
      <c r="K16" s="90">
        <f t="shared" ref="K16:K22" si="4">F16-G16</f>
        <v>-2.9485175300000037</v>
      </c>
      <c r="M16" s="64"/>
      <c r="O16" s="89" t="s">
        <v>35</v>
      </c>
      <c r="P16" s="90">
        <f>C16</f>
        <v>-3.112812879999999</v>
      </c>
      <c r="Q16" s="90">
        <v>-7.731640399999999</v>
      </c>
      <c r="R16" s="91">
        <f>IFERROR(P16/Q16-1,"N.A.")</f>
        <v>-0.59739295686850635</v>
      </c>
      <c r="T16" s="90">
        <f t="shared" si="0"/>
        <v>4.61882752</v>
      </c>
    </row>
    <row r="17" spans="1:20" ht="18.649999999999999" customHeight="1" thickBot="1" x14ac:dyDescent="0.4">
      <c r="A17" s="74">
        <v>6154110136</v>
      </c>
      <c r="B17" s="81" t="s">
        <v>44</v>
      </c>
      <c r="C17" s="76">
        <v>-5.9387586899999993</v>
      </c>
      <c r="D17" s="77">
        <v>-15.72628926</v>
      </c>
      <c r="E17" s="78">
        <f t="shared" si="1"/>
        <v>-0.62236745160822515</v>
      </c>
      <c r="F17" s="77">
        <v>-23.755034730000006</v>
      </c>
      <c r="G17" s="77">
        <v>-62.905157020000011</v>
      </c>
      <c r="H17" s="78">
        <f t="shared" si="2"/>
        <v>-0.62236745196506948</v>
      </c>
      <c r="J17" s="77">
        <f t="shared" si="3"/>
        <v>9.7875305700000013</v>
      </c>
      <c r="K17" s="77">
        <f t="shared" si="4"/>
        <v>39.150122290000006</v>
      </c>
      <c r="M17" s="64"/>
      <c r="O17" s="81" t="s">
        <v>44</v>
      </c>
      <c r="P17" s="76">
        <f>C17</f>
        <v>-5.9387586899999993</v>
      </c>
      <c r="Q17" s="77">
        <v>-5.9387586899999993</v>
      </c>
      <c r="R17" s="78">
        <f>IFERROR(P17/Q17-1,"N.A.")</f>
        <v>0</v>
      </c>
      <c r="T17" s="77">
        <f t="shared" si="0"/>
        <v>0</v>
      </c>
    </row>
    <row r="18" spans="1:20" ht="18.649999999999999" customHeight="1" thickBot="1" x14ac:dyDescent="0.4">
      <c r="A18" s="74"/>
      <c r="B18" s="86" t="s">
        <v>45</v>
      </c>
      <c r="C18" s="87">
        <f>SUM(C15:C17)</f>
        <v>-223.44900000000001</v>
      </c>
      <c r="D18" s="87">
        <f>SUM(D15:D17)</f>
        <v>-217.25099999999998</v>
      </c>
      <c r="E18" s="88">
        <f t="shared" si="1"/>
        <v>2.8529212753911626E-2</v>
      </c>
      <c r="F18" s="87">
        <f t="shared" ref="F18:G18" si="5">SUM(F15:F17)</f>
        <v>-748.995</v>
      </c>
      <c r="G18" s="87">
        <f t="shared" si="5"/>
        <v>-696.98299999999995</v>
      </c>
      <c r="H18" s="88">
        <f t="shared" si="2"/>
        <v>7.4624488689107205E-2</v>
      </c>
      <c r="J18" s="87">
        <f t="shared" si="3"/>
        <v>-6.1980000000000359</v>
      </c>
      <c r="K18" s="87">
        <f t="shared" si="4"/>
        <v>-52.012000000000057</v>
      </c>
      <c r="M18" s="64"/>
      <c r="O18" s="86" t="s">
        <v>45</v>
      </c>
      <c r="P18" s="87">
        <f>SUM(P15:P17)</f>
        <v>-223.44900000000001</v>
      </c>
      <c r="Q18" s="87">
        <v>-183.315</v>
      </c>
      <c r="R18" s="88">
        <f t="shared" ref="R18" si="6">IF(ROUND(P18,1)=ROUND(Q18,1),0,P18/Q18-1)</f>
        <v>0.21893462073480086</v>
      </c>
      <c r="T18" s="87"/>
    </row>
    <row r="19" spans="1:20" ht="18.649999999999999" customHeight="1" x14ac:dyDescent="0.35">
      <c r="A19" s="74">
        <v>10</v>
      </c>
      <c r="B19" s="81" t="s">
        <v>46</v>
      </c>
      <c r="C19" s="76">
        <v>-7.5919999999999996</v>
      </c>
      <c r="D19" s="77">
        <v>-11.629</v>
      </c>
      <c r="E19" s="78">
        <f t="shared" si="1"/>
        <v>-0.34714936795941187</v>
      </c>
      <c r="F19" s="77">
        <v>-7.867</v>
      </c>
      <c r="G19" s="77">
        <v>-11.134</v>
      </c>
      <c r="H19" s="78">
        <f t="shared" si="2"/>
        <v>-0.29342554338063587</v>
      </c>
      <c r="J19" s="77">
        <f t="shared" si="3"/>
        <v>4.0369999999999999</v>
      </c>
      <c r="K19" s="77">
        <f t="shared" si="4"/>
        <v>3.2670000000000003</v>
      </c>
      <c r="M19" s="64"/>
      <c r="O19" s="81" t="s">
        <v>46</v>
      </c>
      <c r="P19" s="76">
        <f>C19</f>
        <v>-7.5919999999999996</v>
      </c>
      <c r="Q19" s="77">
        <v>0.53400000000000003</v>
      </c>
      <c r="R19" s="78">
        <f>IFERROR(P19/Q19-1,"N.A.")</f>
        <v>-15.217228464419474</v>
      </c>
      <c r="T19" s="77">
        <f>P19-Q19</f>
        <v>-8.1259999999999994</v>
      </c>
    </row>
    <row r="20" spans="1:20" ht="18.649999999999999" customHeight="1" thickBot="1" x14ac:dyDescent="0.4">
      <c r="A20" s="74"/>
      <c r="B20" s="82" t="s">
        <v>47</v>
      </c>
      <c r="C20" s="83">
        <v>-169.83099999999999</v>
      </c>
      <c r="D20" s="84">
        <v>-162.44999999999999</v>
      </c>
      <c r="E20" s="85">
        <f t="shared" si="1"/>
        <v>4.5435518621114168E-2</v>
      </c>
      <c r="F20" s="84">
        <v>-668.04499999999996</v>
      </c>
      <c r="G20" s="84">
        <v>-620.69299999999998</v>
      </c>
      <c r="H20" s="85">
        <f t="shared" si="2"/>
        <v>7.6288922220808075E-2</v>
      </c>
      <c r="J20" s="84">
        <f t="shared" si="3"/>
        <v>-7.3810000000000002</v>
      </c>
      <c r="K20" s="84">
        <f t="shared" si="4"/>
        <v>-47.351999999999975</v>
      </c>
      <c r="M20" s="64"/>
      <c r="O20" s="82" t="s">
        <v>47</v>
      </c>
      <c r="P20" s="83">
        <f>C20</f>
        <v>-169.83099999999999</v>
      </c>
      <c r="Q20" s="84">
        <v>-168.88499999999999</v>
      </c>
      <c r="R20" s="85">
        <f>IFERROR(P20/Q20-1,"N.A.")</f>
        <v>5.6014447701098202E-3</v>
      </c>
      <c r="T20" s="84">
        <f>P20-Q20</f>
        <v>-0.94599999999999795</v>
      </c>
    </row>
    <row r="21" spans="1:20" ht="18.649999999999999" customHeight="1" thickBot="1" x14ac:dyDescent="0.4">
      <c r="A21" s="74"/>
      <c r="B21" s="92" t="s">
        <v>48</v>
      </c>
      <c r="C21" s="93">
        <f>SUM(C19:C20)</f>
        <v>-177.423</v>
      </c>
      <c r="D21" s="93">
        <f>SUM(D19:D20)</f>
        <v>-174.07899999999998</v>
      </c>
      <c r="E21" s="94">
        <f t="shared" si="1"/>
        <v>1.9209669173191557E-2</v>
      </c>
      <c r="F21" s="93">
        <f>SUM(F19:F20)</f>
        <v>-675.91199999999992</v>
      </c>
      <c r="G21" s="93">
        <f>SUM(G19:G20)</f>
        <v>-631.827</v>
      </c>
      <c r="H21" s="94">
        <f t="shared" si="2"/>
        <v>6.9773846321856903E-2</v>
      </c>
      <c r="J21" s="93">
        <f t="shared" si="3"/>
        <v>-3.3440000000000225</v>
      </c>
      <c r="K21" s="93">
        <f t="shared" si="4"/>
        <v>-44.084999999999923</v>
      </c>
      <c r="M21" s="64"/>
      <c r="O21" s="92" t="s">
        <v>48</v>
      </c>
      <c r="P21" s="93">
        <f>SUM(P19:P20)</f>
        <v>-177.423</v>
      </c>
      <c r="Q21" s="93">
        <v>-168.351</v>
      </c>
      <c r="R21" s="94">
        <f t="shared" ref="R21:R22" si="7">IF(ROUND(P21,1)=ROUND(Q21,1),0,P21/Q21-1)</f>
        <v>5.3887413796175787E-2</v>
      </c>
      <c r="T21" s="93">
        <f>P21-Q21</f>
        <v>-9.0720000000000027</v>
      </c>
    </row>
    <row r="22" spans="1:20" ht="18.649999999999999" customHeight="1" thickBot="1" x14ac:dyDescent="0.4">
      <c r="A22" s="74"/>
      <c r="B22" s="86" t="s">
        <v>49</v>
      </c>
      <c r="C22" s="87">
        <f t="shared" ref="C22:D22" si="8">SUM(C18,C21)</f>
        <v>-400.87200000000001</v>
      </c>
      <c r="D22" s="87">
        <f t="shared" si="8"/>
        <v>-391.32999999999993</v>
      </c>
      <c r="E22" s="88">
        <f t="shared" si="1"/>
        <v>2.4383512636394045E-2</v>
      </c>
      <c r="F22" s="87">
        <f t="shared" ref="F22:G22" si="9">SUM(F18,F21)</f>
        <v>-1424.9069999999999</v>
      </c>
      <c r="G22" s="87">
        <f t="shared" si="9"/>
        <v>-1328.81</v>
      </c>
      <c r="H22" s="88">
        <f t="shared" si="2"/>
        <v>7.2318089117330508E-2</v>
      </c>
      <c r="J22" s="87">
        <f t="shared" si="3"/>
        <v>-9.5420000000000869</v>
      </c>
      <c r="K22" s="87">
        <f t="shared" si="4"/>
        <v>-96.09699999999998</v>
      </c>
      <c r="M22" s="64"/>
      <c r="O22" s="86" t="s">
        <v>49</v>
      </c>
      <c r="P22" s="87">
        <f>SUM(P18,P21)</f>
        <v>-400.87200000000001</v>
      </c>
      <c r="Q22" s="87">
        <v>-351.666</v>
      </c>
      <c r="R22" s="88">
        <f t="shared" si="7"/>
        <v>0.13992254013751682</v>
      </c>
      <c r="T22" s="87">
        <f>P22-Q22</f>
        <v>-49.206000000000017</v>
      </c>
    </row>
    <row r="23" spans="1:20" ht="15" customHeight="1" x14ac:dyDescent="0.35">
      <c r="I23" s="79"/>
      <c r="J23" s="79"/>
      <c r="K23" s="79"/>
      <c r="L23" s="79"/>
      <c r="M23" s="64"/>
      <c r="T23" s="79"/>
    </row>
    <row r="24" spans="1:20" ht="0" hidden="1" customHeight="1" x14ac:dyDescent="0.35">
      <c r="B24" s="70"/>
      <c r="C24" s="70"/>
      <c r="D24" s="70"/>
      <c r="E24" s="70"/>
      <c r="F24" s="70"/>
    </row>
  </sheetData>
  <mergeCells count="3">
    <mergeCell ref="O6:T6"/>
    <mergeCell ref="C9:H9"/>
    <mergeCell ref="P9:R9"/>
  </mergeCells>
  <hyperlinks>
    <hyperlink ref="F3" location="Menu!A1" display="→Menu←" xr:uid="{78226641-F0BB-45EE-9DF1-02486A6EE8EF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5731-30C2-4503-A5CB-C7397CD38DB8}">
  <sheetPr>
    <tabColor rgb="FF00B0F0"/>
  </sheetPr>
  <dimension ref="A1:CX93"/>
  <sheetViews>
    <sheetView showGridLines="0" zoomScale="55" zoomScaleNormal="55" workbookViewId="0">
      <pane xSplit="2" ySplit="7" topLeftCell="C29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0" defaultRowHeight="15.5" customHeight="1" zeroHeight="1" x14ac:dyDescent="0.35"/>
  <cols>
    <col min="1" max="1" width="0.90625" style="1" customWidth="1"/>
    <col min="2" max="2" width="32" style="1" customWidth="1"/>
    <col min="3" max="4" width="11" style="2" customWidth="1"/>
    <col min="5" max="5" width="11.36328125" style="2" bestFit="1" customWidth="1"/>
    <col min="6" max="7" width="11" style="2" customWidth="1"/>
    <col min="8" max="8" width="11.36328125" style="2" customWidth="1"/>
    <col min="9" max="9" width="2.81640625" style="2" customWidth="1"/>
    <col min="10" max="11" width="12.1796875" style="2" customWidth="1"/>
    <col min="12" max="12" width="3" style="2" customWidth="1"/>
    <col min="13" max="13" width="48.81640625" style="2" customWidth="1"/>
    <col min="14" max="15" width="11.54296875" style="2" bestFit="1" customWidth="1"/>
    <col min="16" max="16" width="10.36328125" style="1" customWidth="1"/>
    <col min="17" max="17" width="12" style="1" bestFit="1" customWidth="1"/>
    <col min="18" max="18" width="12" style="2" bestFit="1" customWidth="1"/>
    <col min="19" max="19" width="10.36328125" style="2" customWidth="1"/>
    <col min="20" max="20" width="3.54296875" style="2" customWidth="1"/>
    <col min="21" max="22" width="11.453125" style="2" customWidth="1"/>
    <col min="23" max="23" width="3" style="2" customWidth="1"/>
    <col min="24" max="24" width="48.81640625" style="2" customWidth="1"/>
    <col min="25" max="26" width="11.54296875" style="2" bestFit="1" customWidth="1"/>
    <col min="27" max="27" width="10.36328125" style="1" customWidth="1"/>
    <col min="28" max="28" width="12" style="1" bestFit="1" customWidth="1"/>
    <col min="29" max="29" width="12" style="2" bestFit="1" customWidth="1"/>
    <col min="30" max="30" width="10.36328125" style="2" customWidth="1"/>
    <col min="31" max="31" width="3.54296875" style="2" customWidth="1"/>
    <col min="32" max="33" width="11.453125" style="2" customWidth="1"/>
    <col min="34" max="34" width="3" style="2" customWidth="1"/>
    <col min="35" max="35" width="48.81640625" style="2" customWidth="1"/>
    <col min="36" max="37" width="11.54296875" style="2" bestFit="1" customWidth="1"/>
    <col min="38" max="38" width="10.36328125" style="1" customWidth="1"/>
    <col min="39" max="39" width="12" style="1" bestFit="1" customWidth="1"/>
    <col min="40" max="40" width="12" style="2" bestFit="1" customWidth="1"/>
    <col min="41" max="41" width="10.36328125" style="2" customWidth="1"/>
    <col min="42" max="42" width="3.54296875" style="2" customWidth="1"/>
    <col min="43" max="44" width="11.453125" style="2" customWidth="1"/>
    <col min="45" max="45" width="3" style="2" customWidth="1"/>
    <col min="46" max="46" width="48.81640625" style="2" customWidth="1"/>
    <col min="47" max="48" width="11.54296875" style="2" bestFit="1" customWidth="1"/>
    <col min="49" max="49" width="10.36328125" style="1" customWidth="1"/>
    <col min="50" max="50" width="12" style="1" bestFit="1" customWidth="1"/>
    <col min="51" max="51" width="12" style="2" bestFit="1" customWidth="1"/>
    <col min="52" max="52" width="10.36328125" style="2" customWidth="1"/>
    <col min="53" max="53" width="3.54296875" style="2" customWidth="1"/>
    <col min="54" max="55" width="11.453125" style="2" customWidth="1"/>
    <col min="56" max="56" width="3" style="2" customWidth="1"/>
    <col min="57" max="57" width="48.81640625" style="2" customWidth="1"/>
    <col min="58" max="59" width="11.54296875" style="2" bestFit="1" customWidth="1"/>
    <col min="60" max="60" width="11" style="1" bestFit="1" customWidth="1"/>
    <col min="61" max="61" width="12" style="1" bestFit="1" customWidth="1"/>
    <col min="62" max="62" width="12" style="2" bestFit="1" customWidth="1"/>
    <col min="63" max="63" width="11.08984375" style="2" customWidth="1"/>
    <col min="64" max="64" width="3.54296875" style="2" customWidth="1"/>
    <col min="65" max="66" width="11.453125" style="2" customWidth="1"/>
    <col min="67" max="67" width="8.81640625" style="1" customWidth="1"/>
    <col min="68" max="68" width="45.453125" style="2" bestFit="1" customWidth="1"/>
    <col min="69" max="70" width="11.54296875" style="2" customWidth="1"/>
    <col min="71" max="72" width="11.54296875" style="1" customWidth="1"/>
    <col min="73" max="74" width="11.54296875" style="2" customWidth="1"/>
    <col min="75" max="75" width="3.54296875" style="2" customWidth="1"/>
    <col min="76" max="77" width="11.453125" style="2" customWidth="1"/>
    <col min="78" max="79" width="8.81640625" style="1" customWidth="1"/>
    <col min="80" max="102" width="0" style="1" hidden="1" customWidth="1"/>
    <col min="103" max="16384" width="8.81640625" style="1" hidden="1"/>
  </cols>
  <sheetData>
    <row r="1" spans="1:85" ht="3.5" customHeight="1" thickBot="1" x14ac:dyDescent="0.4"/>
    <row r="2" spans="1:85" x14ac:dyDescent="0.35">
      <c r="A2" s="3"/>
      <c r="B2" s="4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8"/>
    </row>
    <row r="3" spans="1:85" x14ac:dyDescent="0.35">
      <c r="A3" s="3"/>
      <c r="B3" s="10"/>
      <c r="C3" s="11" t="s">
        <v>0</v>
      </c>
      <c r="D3" s="12">
        <v>45291</v>
      </c>
      <c r="E3" s="11"/>
      <c r="F3" s="96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4"/>
    </row>
    <row r="4" spans="1:85" x14ac:dyDescent="0.35">
      <c r="A4" s="3"/>
      <c r="B4" s="10"/>
      <c r="C4" s="11" t="s">
        <v>2</v>
      </c>
      <c r="D4" s="15" t="s">
        <v>403</v>
      </c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4"/>
    </row>
    <row r="5" spans="1:85" ht="16" thickBot="1" x14ac:dyDescent="0.4">
      <c r="A5" s="3"/>
      <c r="B5" s="17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20"/>
    </row>
    <row r="6" spans="1:85" x14ac:dyDescent="0.35"/>
    <row r="7" spans="1:85" ht="15" customHeight="1" x14ac:dyDescent="0.35"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P7" s="23"/>
      <c r="BQ7" s="23"/>
      <c r="BR7" s="23"/>
      <c r="BS7" s="23"/>
      <c r="BT7" s="23"/>
      <c r="BU7" s="23"/>
      <c r="BV7" s="23"/>
      <c r="BW7" s="23"/>
      <c r="BX7" s="23"/>
      <c r="BY7" s="23"/>
    </row>
    <row r="8" spans="1:85" ht="16" thickBot="1" x14ac:dyDescent="0.4">
      <c r="M8" s="97" t="s">
        <v>51</v>
      </c>
      <c r="N8" s="97" t="s">
        <v>51</v>
      </c>
      <c r="O8" s="97" t="s">
        <v>51</v>
      </c>
      <c r="P8" s="97" t="s">
        <v>51</v>
      </c>
      <c r="Q8" s="97" t="s">
        <v>51</v>
      </c>
      <c r="R8" s="97" t="s">
        <v>51</v>
      </c>
      <c r="S8" s="97" t="s">
        <v>51</v>
      </c>
      <c r="X8" s="97" t="s">
        <v>52</v>
      </c>
      <c r="Y8" s="97" t="s">
        <v>52</v>
      </c>
      <c r="Z8" s="97" t="s">
        <v>52</v>
      </c>
      <c r="AA8" s="97" t="s">
        <v>52</v>
      </c>
      <c r="AB8" s="97" t="s">
        <v>52</v>
      </c>
      <c r="AC8" s="97" t="s">
        <v>52</v>
      </c>
      <c r="AD8" s="97" t="s">
        <v>52</v>
      </c>
      <c r="AI8" s="97" t="s">
        <v>53</v>
      </c>
      <c r="AJ8" s="97" t="s">
        <v>53</v>
      </c>
      <c r="AK8" s="97" t="s">
        <v>53</v>
      </c>
      <c r="AL8" s="97" t="s">
        <v>53</v>
      </c>
      <c r="AM8" s="97" t="s">
        <v>53</v>
      </c>
      <c r="AN8" s="97" t="s">
        <v>53</v>
      </c>
      <c r="AO8" s="97" t="s">
        <v>53</v>
      </c>
      <c r="AT8" s="97" t="s">
        <v>54</v>
      </c>
      <c r="AU8" s="97" t="s">
        <v>54</v>
      </c>
      <c r="AV8" s="97" t="s">
        <v>54</v>
      </c>
      <c r="AW8" s="97" t="s">
        <v>54</v>
      </c>
      <c r="AX8" s="97" t="s">
        <v>54</v>
      </c>
      <c r="AY8" s="97" t="s">
        <v>54</v>
      </c>
      <c r="AZ8" s="97" t="s">
        <v>54</v>
      </c>
      <c r="BE8" s="97" t="s">
        <v>55</v>
      </c>
      <c r="BF8" s="97" t="s">
        <v>55</v>
      </c>
      <c r="BG8" s="97" t="s">
        <v>55</v>
      </c>
      <c r="BH8" s="97" t="s">
        <v>55</v>
      </c>
      <c r="BI8" s="97" t="s">
        <v>55</v>
      </c>
      <c r="BJ8" s="97" t="s">
        <v>55</v>
      </c>
      <c r="BK8" s="97" t="s">
        <v>55</v>
      </c>
    </row>
    <row r="9" spans="1:85" ht="15.5" customHeight="1" thickBot="1" x14ac:dyDescent="0.4">
      <c r="B9" s="27" t="s">
        <v>56</v>
      </c>
      <c r="C9" s="407" t="s">
        <v>57</v>
      </c>
      <c r="D9" s="408"/>
      <c r="E9" s="408"/>
      <c r="F9" s="408"/>
      <c r="G9" s="408"/>
      <c r="H9" s="408"/>
      <c r="I9" s="66"/>
      <c r="J9" s="413" t="s">
        <v>10</v>
      </c>
      <c r="K9" s="413" t="s">
        <v>11</v>
      </c>
      <c r="M9" s="409" t="s">
        <v>58</v>
      </c>
      <c r="N9" s="410"/>
      <c r="O9" s="410"/>
      <c r="P9" s="410"/>
      <c r="Q9" s="410"/>
      <c r="R9" s="410"/>
      <c r="S9" s="411"/>
      <c r="U9" s="1"/>
      <c r="V9" s="1"/>
      <c r="X9" s="409" t="s">
        <v>59</v>
      </c>
      <c r="Y9" s="410"/>
      <c r="Z9" s="410"/>
      <c r="AA9" s="410"/>
      <c r="AB9" s="410"/>
      <c r="AC9" s="410"/>
      <c r="AD9" s="411"/>
      <c r="AF9" s="1"/>
      <c r="AG9" s="1"/>
      <c r="AI9" s="409" t="s">
        <v>60</v>
      </c>
      <c r="AJ9" s="410"/>
      <c r="AK9" s="410"/>
      <c r="AL9" s="410"/>
      <c r="AM9" s="410"/>
      <c r="AN9" s="410"/>
      <c r="AO9" s="411"/>
      <c r="AQ9" s="1"/>
      <c r="AR9" s="1"/>
      <c r="AT9" s="409" t="s">
        <v>61</v>
      </c>
      <c r="AU9" s="410"/>
      <c r="AV9" s="410"/>
      <c r="AW9" s="410"/>
      <c r="AX9" s="410"/>
      <c r="AY9" s="410"/>
      <c r="AZ9" s="411"/>
      <c r="BB9" s="1"/>
      <c r="BC9" s="1"/>
      <c r="BE9" s="409" t="s">
        <v>62</v>
      </c>
      <c r="BF9" s="410"/>
      <c r="BG9" s="410"/>
      <c r="BH9" s="410"/>
      <c r="BI9" s="410"/>
      <c r="BJ9" s="410"/>
      <c r="BK9" s="411"/>
      <c r="BM9" s="1"/>
      <c r="BN9" s="1"/>
      <c r="BP9" s="409" t="s">
        <v>63</v>
      </c>
      <c r="BQ9" s="410"/>
      <c r="BR9" s="410"/>
      <c r="BS9" s="410"/>
      <c r="BT9" s="410"/>
      <c r="BU9" s="410"/>
      <c r="BV9" s="411"/>
      <c r="BX9" s="1"/>
      <c r="BY9" s="1"/>
    </row>
    <row r="10" spans="1:85" ht="15" customHeight="1" thickBot="1" x14ac:dyDescent="0.4">
      <c r="B10" s="98" t="s">
        <v>36</v>
      </c>
      <c r="C10" s="28" t="s">
        <v>403</v>
      </c>
      <c r="D10" s="73" t="s">
        <v>404</v>
      </c>
      <c r="E10" s="28" t="s">
        <v>64</v>
      </c>
      <c r="F10" s="28" t="s">
        <v>405</v>
      </c>
      <c r="G10" s="28" t="s">
        <v>406</v>
      </c>
      <c r="H10" s="28" t="s">
        <v>64</v>
      </c>
      <c r="I10" s="66"/>
      <c r="J10" s="413"/>
      <c r="K10" s="413"/>
      <c r="L10" s="1"/>
      <c r="M10" s="27" t="s">
        <v>65</v>
      </c>
      <c r="N10" s="407" t="s">
        <v>403</v>
      </c>
      <c r="O10" s="407" t="s">
        <v>404</v>
      </c>
      <c r="P10" s="407" t="s">
        <v>64</v>
      </c>
      <c r="Q10" s="407" t="s">
        <v>405</v>
      </c>
      <c r="R10" s="407" t="s">
        <v>406</v>
      </c>
      <c r="S10" s="407" t="s">
        <v>64</v>
      </c>
      <c r="U10" s="407" t="s">
        <v>10</v>
      </c>
      <c r="V10" s="407" t="s">
        <v>11</v>
      </c>
      <c r="W10" s="1"/>
      <c r="X10" s="27" t="s">
        <v>65</v>
      </c>
      <c r="Y10" s="407" t="str">
        <f>N10</f>
        <v>4T23</v>
      </c>
      <c r="Z10" s="407" t="str">
        <f>O10</f>
        <v>4T22</v>
      </c>
      <c r="AA10" s="407" t="str">
        <f>P10</f>
        <v>Var (%)</v>
      </c>
      <c r="AB10" s="407" t="s">
        <v>405</v>
      </c>
      <c r="AC10" s="407" t="s">
        <v>406</v>
      </c>
      <c r="AD10" s="407" t="str">
        <f>S10</f>
        <v>Var (%)</v>
      </c>
      <c r="AF10" s="407" t="s">
        <v>10</v>
      </c>
      <c r="AG10" s="407" t="s">
        <v>11</v>
      </c>
      <c r="AH10" s="1"/>
      <c r="AI10" s="27" t="s">
        <v>65</v>
      </c>
      <c r="AJ10" s="407" t="str">
        <f>Y10</f>
        <v>4T23</v>
      </c>
      <c r="AK10" s="407" t="str">
        <f>Z10</f>
        <v>4T22</v>
      </c>
      <c r="AL10" s="407" t="str">
        <f>AA10</f>
        <v>Var (%)</v>
      </c>
      <c r="AM10" s="407" t="s">
        <v>405</v>
      </c>
      <c r="AN10" s="407" t="s">
        <v>406</v>
      </c>
      <c r="AO10" s="407" t="str">
        <f>AD10</f>
        <v>Var (%)</v>
      </c>
      <c r="AQ10" s="407" t="s">
        <v>10</v>
      </c>
      <c r="AR10" s="407" t="s">
        <v>11</v>
      </c>
      <c r="AS10" s="1"/>
      <c r="AT10" s="27" t="s">
        <v>65</v>
      </c>
      <c r="AU10" s="407" t="str">
        <f>AJ10</f>
        <v>4T23</v>
      </c>
      <c r="AV10" s="407" t="str">
        <f>AK10</f>
        <v>4T22</v>
      </c>
      <c r="AW10" s="407" t="str">
        <f>AL10</f>
        <v>Var (%)</v>
      </c>
      <c r="AX10" s="407" t="s">
        <v>405</v>
      </c>
      <c r="AY10" s="407" t="s">
        <v>406</v>
      </c>
      <c r="AZ10" s="407" t="str">
        <f>AO10</f>
        <v>Var (%)</v>
      </c>
      <c r="BB10" s="407" t="s">
        <v>10</v>
      </c>
      <c r="BC10" s="407" t="s">
        <v>11</v>
      </c>
      <c r="BD10" s="1"/>
      <c r="BE10" s="27" t="s">
        <v>65</v>
      </c>
      <c r="BF10" s="407" t="str">
        <f>AU10</f>
        <v>4T23</v>
      </c>
      <c r="BG10" s="407" t="str">
        <f>AV10</f>
        <v>4T22</v>
      </c>
      <c r="BH10" s="407" t="str">
        <f>AW10</f>
        <v>Var (%)</v>
      </c>
      <c r="BI10" s="407" t="s">
        <v>405</v>
      </c>
      <c r="BJ10" s="407" t="s">
        <v>406</v>
      </c>
      <c r="BK10" s="407" t="str">
        <f>AZ10</f>
        <v>Var (%)</v>
      </c>
      <c r="BM10" s="407" t="s">
        <v>10</v>
      </c>
      <c r="BN10" s="407" t="s">
        <v>11</v>
      </c>
      <c r="BP10" s="27" t="s">
        <v>65</v>
      </c>
      <c r="BQ10" s="407" t="str">
        <f>BF10</f>
        <v>4T23</v>
      </c>
      <c r="BR10" s="407" t="str">
        <f>BG10</f>
        <v>4T22</v>
      </c>
      <c r="BS10" s="407" t="str">
        <f>BH10</f>
        <v>Var (%)</v>
      </c>
      <c r="BT10" s="407" t="s">
        <v>405</v>
      </c>
      <c r="BU10" s="407" t="s">
        <v>406</v>
      </c>
      <c r="BV10" s="407" t="str">
        <f>BK10</f>
        <v>Var (%)</v>
      </c>
      <c r="BX10" s="407" t="s">
        <v>10</v>
      </c>
      <c r="BY10" s="407" t="s">
        <v>11</v>
      </c>
    </row>
    <row r="11" spans="1:85" ht="15" customHeight="1" thickBot="1" x14ac:dyDescent="0.4">
      <c r="B11" s="99" t="s">
        <v>66</v>
      </c>
      <c r="C11" s="100">
        <v>826.7299999999999</v>
      </c>
      <c r="D11" s="100">
        <v>634.6930000000001</v>
      </c>
      <c r="E11" s="101">
        <f t="shared" ref="E11:E18" si="0">IF(OR(AND(D11&gt;0,C11&lt;0),AND(D11&lt;0,C11&gt;0)),"n.a",IFERROR(C11/D11-1,"N.A."))</f>
        <v>0.30256675274502753</v>
      </c>
      <c r="F11" s="100">
        <v>3129.0969999999998</v>
      </c>
      <c r="G11" s="100">
        <v>2464.9850000000001</v>
      </c>
      <c r="H11" s="101">
        <f t="shared" ref="H11:H18" si="1">IF(OR(AND(G11&gt;0,F11&lt;0),AND(G11&lt;0,F11&gt;0)),"n.a",IFERROR(F11/G11-1,"N.A."))</f>
        <v>0.26941827232214388</v>
      </c>
      <c r="I11" s="66"/>
      <c r="J11" s="100">
        <f>IFERROR(C11-D11,"N.A")</f>
        <v>192.03699999999981</v>
      </c>
      <c r="K11" s="100">
        <f>IFERROR(F11-G11,"N.A")</f>
        <v>664.11199999999963</v>
      </c>
      <c r="L11" s="1"/>
      <c r="M11" s="98" t="s">
        <v>67</v>
      </c>
      <c r="N11" s="412"/>
      <c r="O11" s="412"/>
      <c r="P11" s="412"/>
      <c r="Q11" s="412"/>
      <c r="R11" s="412"/>
      <c r="S11" s="412"/>
      <c r="U11" s="412"/>
      <c r="V11" s="412"/>
      <c r="W11" s="1"/>
      <c r="X11" s="98" t="s">
        <v>67</v>
      </c>
      <c r="Y11" s="412"/>
      <c r="Z11" s="412"/>
      <c r="AA11" s="412"/>
      <c r="AB11" s="412"/>
      <c r="AC11" s="412"/>
      <c r="AD11" s="412"/>
      <c r="AF11" s="412"/>
      <c r="AG11" s="412"/>
      <c r="AH11" s="1"/>
      <c r="AI11" s="98" t="s">
        <v>67</v>
      </c>
      <c r="AJ11" s="412"/>
      <c r="AK11" s="412"/>
      <c r="AL11" s="412"/>
      <c r="AM11" s="412"/>
      <c r="AN11" s="412"/>
      <c r="AO11" s="412"/>
      <c r="AQ11" s="412"/>
      <c r="AR11" s="412"/>
      <c r="AS11" s="1"/>
      <c r="AT11" s="98" t="s">
        <v>67</v>
      </c>
      <c r="AU11" s="412"/>
      <c r="AV11" s="412"/>
      <c r="AW11" s="412"/>
      <c r="AX11" s="412"/>
      <c r="AY11" s="412"/>
      <c r="AZ11" s="412"/>
      <c r="BB11" s="412"/>
      <c r="BC11" s="412"/>
      <c r="BD11" s="1"/>
      <c r="BE11" s="98" t="s">
        <v>67</v>
      </c>
      <c r="BF11" s="412"/>
      <c r="BG11" s="412"/>
      <c r="BH11" s="412"/>
      <c r="BI11" s="412"/>
      <c r="BJ11" s="412"/>
      <c r="BK11" s="412"/>
      <c r="BM11" s="412"/>
      <c r="BN11" s="412"/>
      <c r="BP11" s="98" t="s">
        <v>67</v>
      </c>
      <c r="BQ11" s="412"/>
      <c r="BR11" s="412"/>
      <c r="BS11" s="412"/>
      <c r="BT11" s="412"/>
      <c r="BU11" s="412"/>
      <c r="BV11" s="412"/>
      <c r="BX11" s="412"/>
      <c r="BY11" s="412"/>
    </row>
    <row r="12" spans="1:85" ht="15" customHeight="1" x14ac:dyDescent="0.35">
      <c r="B12" s="102" t="s">
        <v>68</v>
      </c>
      <c r="C12" s="103">
        <f>SUM(C13:C17)</f>
        <v>128.96047759919992</v>
      </c>
      <c r="D12" s="103">
        <f>SUM(D13:D17)</f>
        <v>108.38581005599998</v>
      </c>
      <c r="E12" s="60">
        <f t="shared" si="0"/>
        <v>0.18982805528297075</v>
      </c>
      <c r="F12" s="103">
        <f t="shared" ref="F12:G12" si="2">SUM(F13:F17)</f>
        <v>591.83368791969986</v>
      </c>
      <c r="G12" s="103">
        <f t="shared" si="2"/>
        <v>357.7772608775</v>
      </c>
      <c r="H12" s="60">
        <f t="shared" si="1"/>
        <v>0.6541959275671767</v>
      </c>
      <c r="I12" s="66"/>
      <c r="J12" s="103">
        <f t="shared" ref="J12:J18" si="3">IFERROR(C12-D12,"N.A")</f>
        <v>20.574667543199936</v>
      </c>
      <c r="K12" s="103">
        <f t="shared" ref="K12:K18" si="4">IFERROR(F12-G12,"N.A")</f>
        <v>234.05642704219986</v>
      </c>
      <c r="L12" s="1"/>
      <c r="M12" s="104" t="s">
        <v>69</v>
      </c>
      <c r="N12" s="105">
        <v>177134.32305999985</v>
      </c>
      <c r="O12" s="105">
        <v>143869.53969000001</v>
      </c>
      <c r="P12" s="106">
        <f t="shared" ref="P12:P23" si="5">IF(OR(AND(O12&gt;0,N12&lt;0),AND(O12&lt;0,N12&gt;0)),"n.a",IFERROR(N12/O12-1,"N.A."))</f>
        <v>0.23121491485742207</v>
      </c>
      <c r="Q12" s="105">
        <v>740470.92065999983</v>
      </c>
      <c r="R12" s="105">
        <v>637021.15565999993</v>
      </c>
      <c r="S12" s="106">
        <f t="shared" ref="S12:S23" si="6">IF(OR(AND(R12&gt;0,Q12&lt;0),AND(R12&lt;0,Q12&gt;0)),"n.a",IFERROR(Q12/R12-1,"N.A."))</f>
        <v>0.16239612151156657</v>
      </c>
      <c r="U12" s="105">
        <f t="shared" ref="U12:U23" si="7">N12-O12</f>
        <v>33264.783369999845</v>
      </c>
      <c r="V12" s="105">
        <f>Q12-R12</f>
        <v>103449.7649999999</v>
      </c>
      <c r="W12" s="1"/>
      <c r="X12" s="104" t="s">
        <v>69</v>
      </c>
      <c r="Y12" s="105">
        <v>43855.676130000007</v>
      </c>
      <c r="Z12" s="105">
        <v>37499.721109999999</v>
      </c>
      <c r="AA12" s="106">
        <f t="shared" ref="AA12:AA23" si="8">IF(OR(AND(Z12&gt;0,Y12&lt;0),AND(Z12&lt;0,Y12&gt;0)),"n.a",IFERROR(Y12/Z12-1,"N.A."))</f>
        <v>0.16949339440034072</v>
      </c>
      <c r="AB12" s="105">
        <v>141746.70761000001</v>
      </c>
      <c r="AC12" s="105">
        <v>128873.44564000001</v>
      </c>
      <c r="AD12" s="106">
        <f t="shared" ref="AD12:AD23" si="9">IF(OR(AND(AC12&gt;0,AB12&lt;0),AND(AC12&lt;0,AB12&gt;0)),"n.a",IFERROR(AB12/AC12-1,"N.A."))</f>
        <v>9.989072540172983E-2</v>
      </c>
      <c r="AF12" s="105">
        <f t="shared" ref="AF12:AF23" si="10">Y12-Z12</f>
        <v>6355.9550200000085</v>
      </c>
      <c r="AG12" s="105">
        <f>AB12-AC12</f>
        <v>12873.261970000007</v>
      </c>
      <c r="AH12" s="1"/>
      <c r="AI12" s="104" t="s">
        <v>69</v>
      </c>
      <c r="AJ12" s="105">
        <v>27284.29501999999</v>
      </c>
      <c r="AK12" s="105">
        <v>26342.788779999999</v>
      </c>
      <c r="AL12" s="106">
        <f t="shared" ref="AL12:AL23" si="11">IF(OR(AND(AK12&gt;0,AJ12&lt;0),AND(AK12&lt;0,AJ12&gt;0)),"n.a",IFERROR(AJ12/AK12-1,"N.A."))</f>
        <v>3.5740568239107651E-2</v>
      </c>
      <c r="AM12" s="105">
        <v>107839</v>
      </c>
      <c r="AN12" s="105">
        <v>57698.185740000001</v>
      </c>
      <c r="AO12" s="106">
        <f t="shared" ref="AO12:AO23" si="12">IF(OR(AND(AN12&gt;0,AM12&lt;0),AND(AN12&lt;0,AM12&gt;0)),"n.a",IFERROR(AM12/AN12-1,"N.A."))</f>
        <v>0.86901890617401589</v>
      </c>
      <c r="AQ12" s="105">
        <f t="shared" ref="AQ12:AQ23" si="13">AJ12-AK12</f>
        <v>941.50623999999152</v>
      </c>
      <c r="AR12" s="105">
        <f>AM12-AN12</f>
        <v>50140.814259999999</v>
      </c>
      <c r="AS12" s="1"/>
      <c r="AT12" s="104" t="s">
        <v>69</v>
      </c>
      <c r="AU12" s="105">
        <v>42129.859639999995</v>
      </c>
      <c r="AV12" s="105">
        <v>36596.383199999997</v>
      </c>
      <c r="AW12" s="106">
        <f t="shared" ref="AW12:AW23" si="14">IF(OR(AND(AV12&gt;0,AU12&lt;0),AND(AV12&lt;0,AU12&gt;0)),"n.a",IFERROR(AU12/AV12-1,"N.A."))</f>
        <v>0.15120282268768026</v>
      </c>
      <c r="AX12" s="105">
        <v>161787</v>
      </c>
      <c r="AY12" s="105">
        <v>49041.281989999996</v>
      </c>
      <c r="AZ12" s="106">
        <f t="shared" ref="AZ12:AZ23" si="15">IF(OR(AND(AY12&gt;0,AX12&lt;0),AND(AY12&lt;0,AX12&gt;0)),"n.a",IFERROR(AX12/AY12-1,"N.A."))</f>
        <v>2.2989961402923762</v>
      </c>
      <c r="BB12" s="105">
        <f t="shared" ref="BB12:BB23" si="16">AU12-AV12</f>
        <v>5533.4764399999985</v>
      </c>
      <c r="BC12" s="105">
        <f>AX12-AY12</f>
        <v>112745.71801000001</v>
      </c>
      <c r="BD12" s="1"/>
      <c r="BE12" s="104" t="s">
        <v>69</v>
      </c>
      <c r="BF12" s="105">
        <v>100426.56247</v>
      </c>
      <c r="BG12" s="105">
        <v>43348.65597</v>
      </c>
      <c r="BH12" s="106">
        <f t="shared" ref="BH12:BH23" si="17">IF(OR(AND(BG12&gt;0,BF12&lt;0),AND(BG12&lt;0,BF12&gt;0)),"n.a",IFERROR(BF12/BG12-1,"N.A."))</f>
        <v>1.316716867519526</v>
      </c>
      <c r="BI12" s="105">
        <v>371071.62096999999</v>
      </c>
      <c r="BJ12" s="105">
        <v>43348.65597</v>
      </c>
      <c r="BK12" s="106">
        <f t="shared" ref="BK12:BK23" si="18">IF(OR(AND(BJ12&gt;0,BI12&lt;0),AND(BJ12&lt;0,BI12&gt;0)),"n.a",IFERROR(BI12/BJ12-1,"N.A."))</f>
        <v>7.5601643849535947</v>
      </c>
      <c r="BM12" s="105">
        <f t="shared" ref="BM12:BM23" si="19">BF12-BG12</f>
        <v>57077.906500000005</v>
      </c>
      <c r="BN12" s="105">
        <f>BI12-BJ12</f>
        <v>327722.96499999997</v>
      </c>
      <c r="BP12" s="104" t="s">
        <v>69</v>
      </c>
      <c r="BQ12" s="105">
        <f>SUM(AJ12,AU12,BF12)</f>
        <v>169840.71713</v>
      </c>
      <c r="BR12" s="105">
        <f t="shared" ref="BR12:BR23" si="20">SUM(AK12,AV12,BG12)</f>
        <v>106287.82795000001</v>
      </c>
      <c r="BS12" s="106">
        <f t="shared" ref="BS12:BS23" si="21">IF(OR(AND(BR12&gt;0,BQ12&lt;0),AND(BR12&lt;0,BQ12&gt;0)),"n.a",IFERROR(BQ12/BR12-1,"N.A."))</f>
        <v>0.59793195896238083</v>
      </c>
      <c r="BT12" s="105">
        <f>SUM(AM12,AX12,BI12)</f>
        <v>640697.62097000005</v>
      </c>
      <c r="BU12" s="105">
        <f t="shared" ref="BU12:BU23" si="22">SUM(AN12,AY12,BJ12)</f>
        <v>150088.1237</v>
      </c>
      <c r="BV12" s="106">
        <f t="shared" ref="BV12:BV23" si="23">IF(OR(AND(BU12&gt;0,BT12&lt;0),AND(BU12&lt;0,BT12&gt;0)),"n.a",IFERROR(BT12/BU12-1,"N.A."))</f>
        <v>3.2688095844987908</v>
      </c>
      <c r="BX12" s="105">
        <f t="shared" ref="BX12:BX23" si="24">BQ12-BR12</f>
        <v>63552.889179999998</v>
      </c>
      <c r="BY12" s="105">
        <f>BT12-BU12</f>
        <v>490609.49727000005</v>
      </c>
      <c r="BZ12" s="107"/>
      <c r="CA12" s="107"/>
      <c r="CB12" s="107"/>
      <c r="CC12" s="107"/>
      <c r="CD12" s="107"/>
      <c r="CE12" s="107"/>
      <c r="CF12" s="107"/>
      <c r="CG12" s="107"/>
    </row>
    <row r="13" spans="1:85" s="107" customFormat="1" ht="15" customHeight="1" x14ac:dyDescent="0.35">
      <c r="B13" s="108" t="s">
        <v>70</v>
      </c>
      <c r="C13" s="47">
        <f>N25/1000</f>
        <v>64.615420091399926</v>
      </c>
      <c r="D13" s="47">
        <f>O25/1000</f>
        <v>48.317597186399993</v>
      </c>
      <c r="E13" s="49">
        <f t="shared" si="0"/>
        <v>0.33730615456985724</v>
      </c>
      <c r="F13" s="47">
        <f>Q25/1000</f>
        <v>291.17540219669985</v>
      </c>
      <c r="G13" s="47">
        <f>R25/1000</f>
        <v>249.76248821039999</v>
      </c>
      <c r="H13" s="49">
        <f t="shared" si="1"/>
        <v>0.1658091824878587</v>
      </c>
      <c r="I13" s="66"/>
      <c r="J13" s="47">
        <f t="shared" si="3"/>
        <v>16.297822904999933</v>
      </c>
      <c r="K13" s="47">
        <f t="shared" si="4"/>
        <v>41.412913986299856</v>
      </c>
      <c r="M13" s="108" t="s">
        <v>71</v>
      </c>
      <c r="N13" s="109">
        <v>-24759.447709999993</v>
      </c>
      <c r="O13" s="109">
        <v>-23630.544130000009</v>
      </c>
      <c r="P13" s="49">
        <f t="shared" si="5"/>
        <v>4.7773067509130795E-2</v>
      </c>
      <c r="Q13" s="109">
        <v>-95969.567249999993</v>
      </c>
      <c r="R13" s="109">
        <v>-88553.863260000013</v>
      </c>
      <c r="S13" s="49">
        <f t="shared" si="6"/>
        <v>8.3742297817397171E-2</v>
      </c>
      <c r="T13" s="2"/>
      <c r="U13" s="109">
        <f t="shared" si="7"/>
        <v>-1128.9035799999838</v>
      </c>
      <c r="V13" s="109">
        <f t="shared" ref="V13:V26" si="25">Q13-R13</f>
        <v>-7415.70398999998</v>
      </c>
      <c r="X13" s="108" t="s">
        <v>71</v>
      </c>
      <c r="Y13" s="109">
        <v>-5081.5180299999993</v>
      </c>
      <c r="Z13" s="109">
        <v>-4575.4929000000011</v>
      </c>
      <c r="AA13" s="49">
        <f t="shared" si="8"/>
        <v>0.11059467057636518</v>
      </c>
      <c r="AB13" s="109">
        <v>-19251.165549999998</v>
      </c>
      <c r="AC13" s="109">
        <v>-16771.808860000001</v>
      </c>
      <c r="AD13" s="49">
        <f t="shared" si="9"/>
        <v>0.14782881862630504</v>
      </c>
      <c r="AE13" s="2"/>
      <c r="AF13" s="109">
        <f t="shared" si="10"/>
        <v>-506.02512999999817</v>
      </c>
      <c r="AG13" s="109">
        <f t="shared" ref="AG13:AG23" si="26">AB13-AC13</f>
        <v>-2479.3566899999969</v>
      </c>
      <c r="AI13" s="108" t="s">
        <v>71</v>
      </c>
      <c r="AJ13" s="109">
        <v>-2836.0398299999997</v>
      </c>
      <c r="AK13" s="109">
        <v>-2826.7869199999996</v>
      </c>
      <c r="AL13" s="49">
        <f t="shared" si="11"/>
        <v>3.273295887473493E-3</v>
      </c>
      <c r="AM13" s="109">
        <v>-11551</v>
      </c>
      <c r="AN13" s="109">
        <v>-7167.2694300000003</v>
      </c>
      <c r="AO13" s="49">
        <f t="shared" si="12"/>
        <v>0.6116318931239062</v>
      </c>
      <c r="AP13" s="2"/>
      <c r="AQ13" s="109">
        <f t="shared" si="13"/>
        <v>-9.2529100000001563</v>
      </c>
      <c r="AR13" s="109">
        <f t="shared" ref="AR13:AR23" si="27">AM13-AN13</f>
        <v>-4383.7305699999997</v>
      </c>
      <c r="AT13" s="108" t="s">
        <v>71</v>
      </c>
      <c r="AU13" s="109">
        <v>-4339.8702299999986</v>
      </c>
      <c r="AV13" s="109">
        <v>-4148.0814800000007</v>
      </c>
      <c r="AW13" s="49">
        <f t="shared" si="14"/>
        <v>4.6235531033975263E-2</v>
      </c>
      <c r="AX13" s="109">
        <v>-16921</v>
      </c>
      <c r="AY13" s="109">
        <v>-7020.42929</v>
      </c>
      <c r="AZ13" s="49">
        <f t="shared" si="15"/>
        <v>1.4102514676848203</v>
      </c>
      <c r="BA13" s="2"/>
      <c r="BB13" s="109">
        <f t="shared" si="16"/>
        <v>-191.78874999999789</v>
      </c>
      <c r="BC13" s="109">
        <f t="shared" ref="BC13:BC23" si="28">AX13-AY13</f>
        <v>-9900.57071</v>
      </c>
      <c r="BE13" s="108" t="s">
        <v>71</v>
      </c>
      <c r="BF13" s="109">
        <v>-11143.719119999994</v>
      </c>
      <c r="BG13" s="109">
        <v>-4009.7506700000004</v>
      </c>
      <c r="BH13" s="49">
        <f t="shared" si="17"/>
        <v>1.7791551238770649</v>
      </c>
      <c r="BI13" s="109">
        <v>-40029.437149999998</v>
      </c>
      <c r="BJ13" s="109">
        <v>-4009.7506700000004</v>
      </c>
      <c r="BK13" s="49">
        <f t="shared" si="18"/>
        <v>8.9830239943572341</v>
      </c>
      <c r="BL13" s="2"/>
      <c r="BM13" s="109">
        <f t="shared" si="19"/>
        <v>-7133.9684499999939</v>
      </c>
      <c r="BN13" s="109">
        <f t="shared" ref="BN13:BN23" si="29">BI13-BJ13</f>
        <v>-36019.686479999997</v>
      </c>
      <c r="BO13" s="1"/>
      <c r="BP13" s="108" t="s">
        <v>71</v>
      </c>
      <c r="BQ13" s="109">
        <f t="shared" ref="BQ13:BQ23" si="30">SUM(AJ13,AU13,BF13)</f>
        <v>-18319.629179999993</v>
      </c>
      <c r="BR13" s="109">
        <f t="shared" si="20"/>
        <v>-10984.619070000001</v>
      </c>
      <c r="BS13" s="49">
        <f t="shared" si="21"/>
        <v>0.66775279718461755</v>
      </c>
      <c r="BT13" s="109">
        <f t="shared" ref="BT13:BT23" si="31">SUM(AM13,AX13,BI13)</f>
        <v>-68501.437149999998</v>
      </c>
      <c r="BU13" s="109">
        <f t="shared" si="22"/>
        <v>-18197.449390000002</v>
      </c>
      <c r="BV13" s="49">
        <f t="shared" si="23"/>
        <v>2.7643427758421693</v>
      </c>
      <c r="BW13" s="2"/>
      <c r="BX13" s="109">
        <f t="shared" si="24"/>
        <v>-7335.010109999992</v>
      </c>
      <c r="BY13" s="109">
        <f t="shared" ref="BY13:BY23" si="32">BT13-BU13</f>
        <v>-50303.987759999996</v>
      </c>
      <c r="BZ13" s="1"/>
      <c r="CA13" s="1"/>
      <c r="CB13" s="1"/>
      <c r="CC13" s="1"/>
      <c r="CD13" s="1"/>
      <c r="CE13" s="1"/>
      <c r="CF13" s="1"/>
      <c r="CG13" s="1"/>
    </row>
    <row r="14" spans="1:85" ht="15" customHeight="1" x14ac:dyDescent="0.35">
      <c r="B14" s="108" t="s">
        <v>72</v>
      </c>
      <c r="C14" s="47">
        <f>Y25/1000</f>
        <v>17.969772877800001</v>
      </c>
      <c r="D14" s="47">
        <f>Z25/1000</f>
        <v>14.900284164600002</v>
      </c>
      <c r="E14" s="49">
        <f t="shared" si="0"/>
        <v>0.20600202514878663</v>
      </c>
      <c r="F14" s="47">
        <f>AB25/1000</f>
        <v>55.707741812999998</v>
      </c>
      <c r="G14" s="47">
        <f>AC25/1000</f>
        <v>49.0959250521</v>
      </c>
      <c r="H14" s="49">
        <f t="shared" si="1"/>
        <v>0.13467139592305499</v>
      </c>
      <c r="I14" s="66"/>
      <c r="J14" s="47">
        <f t="shared" si="3"/>
        <v>3.0694887131999984</v>
      </c>
      <c r="K14" s="47">
        <f t="shared" si="4"/>
        <v>6.6118167608999983</v>
      </c>
      <c r="L14" s="1"/>
      <c r="M14" s="102" t="s">
        <v>73</v>
      </c>
      <c r="N14" s="110">
        <v>152374.87534999987</v>
      </c>
      <c r="O14" s="110">
        <v>120238.99556</v>
      </c>
      <c r="P14" s="60">
        <f t="shared" si="5"/>
        <v>0.26726670195746838</v>
      </c>
      <c r="Q14" s="110">
        <v>644501.35340999987</v>
      </c>
      <c r="R14" s="110">
        <v>548467.29239999992</v>
      </c>
      <c r="S14" s="60">
        <f t="shared" si="6"/>
        <v>0.17509532900270353</v>
      </c>
      <c r="U14" s="110">
        <f t="shared" si="7"/>
        <v>32135.879789999875</v>
      </c>
      <c r="V14" s="110">
        <f t="shared" si="25"/>
        <v>96034.061009999947</v>
      </c>
      <c r="W14" s="1"/>
      <c r="X14" s="102" t="s">
        <v>73</v>
      </c>
      <c r="Y14" s="110">
        <v>38774.158100000001</v>
      </c>
      <c r="Z14" s="110">
        <v>32924.228210000001</v>
      </c>
      <c r="AA14" s="60">
        <f t="shared" si="8"/>
        <v>0.17767857313731095</v>
      </c>
      <c r="AB14" s="110">
        <v>122495.54206000001</v>
      </c>
      <c r="AC14" s="110">
        <v>112101.63678</v>
      </c>
      <c r="AD14" s="60">
        <f t="shared" si="9"/>
        <v>9.2718586262911629E-2</v>
      </c>
      <c r="AF14" s="110">
        <f t="shared" si="10"/>
        <v>5849.9298899999994</v>
      </c>
      <c r="AG14" s="110">
        <f t="shared" si="26"/>
        <v>10393.905280000006</v>
      </c>
      <c r="AH14" s="1"/>
      <c r="AI14" s="102" t="s">
        <v>73</v>
      </c>
      <c r="AJ14" s="110">
        <v>24448.255189999996</v>
      </c>
      <c r="AK14" s="110">
        <v>23516.00186</v>
      </c>
      <c r="AL14" s="60">
        <f t="shared" si="11"/>
        <v>3.9643360106452974E-2</v>
      </c>
      <c r="AM14" s="110">
        <v>96288</v>
      </c>
      <c r="AN14" s="110">
        <v>50530.916310000001</v>
      </c>
      <c r="AO14" s="60">
        <f t="shared" si="12"/>
        <v>0.90552649806084617</v>
      </c>
      <c r="AQ14" s="110">
        <f t="shared" si="13"/>
        <v>932.25332999999591</v>
      </c>
      <c r="AR14" s="110">
        <f t="shared" si="27"/>
        <v>45757.083689999999</v>
      </c>
      <c r="AS14" s="1"/>
      <c r="AT14" s="102" t="s">
        <v>73</v>
      </c>
      <c r="AU14" s="110">
        <v>37789.989409999995</v>
      </c>
      <c r="AV14" s="110">
        <v>32448.301719999996</v>
      </c>
      <c r="AW14" s="60">
        <f t="shared" si="14"/>
        <v>0.16462148731523807</v>
      </c>
      <c r="AX14" s="110">
        <v>144866</v>
      </c>
      <c r="AY14" s="110">
        <v>42020.852699999996</v>
      </c>
      <c r="AZ14" s="60">
        <f t="shared" si="15"/>
        <v>2.4474788275774331</v>
      </c>
      <c r="BB14" s="110">
        <f t="shared" si="16"/>
        <v>5341.6876899999988</v>
      </c>
      <c r="BC14" s="110">
        <f t="shared" si="28"/>
        <v>102845.14730000001</v>
      </c>
      <c r="BD14" s="1"/>
      <c r="BE14" s="102" t="s">
        <v>73</v>
      </c>
      <c r="BF14" s="110">
        <v>89282.843349999981</v>
      </c>
      <c r="BG14" s="110">
        <v>39338.905299999999</v>
      </c>
      <c r="BH14" s="60">
        <f t="shared" si="17"/>
        <v>1.2695812877639985</v>
      </c>
      <c r="BI14" s="110">
        <v>331042.18381999998</v>
      </c>
      <c r="BJ14" s="110">
        <v>39338.905299999999</v>
      </c>
      <c r="BK14" s="60">
        <f t="shared" si="18"/>
        <v>7.4151346178918711</v>
      </c>
      <c r="BM14" s="110">
        <f t="shared" si="19"/>
        <v>49943.938049999982</v>
      </c>
      <c r="BN14" s="110">
        <f t="shared" si="29"/>
        <v>291703.27851999999</v>
      </c>
      <c r="BP14" s="102" t="s">
        <v>73</v>
      </c>
      <c r="BQ14" s="110">
        <f t="shared" si="30"/>
        <v>151521.08794999996</v>
      </c>
      <c r="BR14" s="110">
        <f t="shared" si="20"/>
        <v>95303.208879999991</v>
      </c>
      <c r="BS14" s="60">
        <f t="shared" si="21"/>
        <v>0.5898844302376649</v>
      </c>
      <c r="BT14" s="110">
        <f t="shared" si="31"/>
        <v>572196.18381999992</v>
      </c>
      <c r="BU14" s="110">
        <f t="shared" si="22"/>
        <v>131890.67430999997</v>
      </c>
      <c r="BV14" s="60">
        <f t="shared" si="23"/>
        <v>3.3384127559700856</v>
      </c>
      <c r="BX14" s="110">
        <f t="shared" si="24"/>
        <v>56217.879069999966</v>
      </c>
      <c r="BY14" s="110">
        <f t="shared" si="32"/>
        <v>440305.50950999995</v>
      </c>
      <c r="BZ14" s="107"/>
      <c r="CA14" s="107"/>
      <c r="CB14" s="107"/>
      <c r="CC14" s="107"/>
      <c r="CD14" s="107"/>
      <c r="CE14" s="107"/>
      <c r="CF14" s="107"/>
      <c r="CG14" s="107"/>
    </row>
    <row r="15" spans="1:85" s="107" customFormat="1" ht="15" customHeight="1" x14ac:dyDescent="0.35">
      <c r="B15" s="108" t="s">
        <v>74</v>
      </c>
      <c r="C15" s="47">
        <f>AJ25/1000</f>
        <v>11.538072069999998</v>
      </c>
      <c r="D15" s="47">
        <f>AK25/1000</f>
        <v>11.225544844999998</v>
      </c>
      <c r="E15" s="49">
        <f t="shared" si="0"/>
        <v>2.7840717694803452E-2</v>
      </c>
      <c r="F15" s="47">
        <f>AM25/1000</f>
        <v>45.917499999999997</v>
      </c>
      <c r="G15" s="47">
        <f>AN25/1000</f>
        <v>23.543695234999998</v>
      </c>
      <c r="H15" s="49">
        <f t="shared" si="1"/>
        <v>0.95030981932433267</v>
      </c>
      <c r="I15" s="66"/>
      <c r="J15" s="47">
        <f t="shared" si="3"/>
        <v>0.31252722500000019</v>
      </c>
      <c r="K15" s="47">
        <f t="shared" si="4"/>
        <v>22.373804764999999</v>
      </c>
      <c r="M15" s="108" t="s">
        <v>75</v>
      </c>
      <c r="N15" s="109">
        <v>-25241.263080000019</v>
      </c>
      <c r="O15" s="109">
        <v>-16592.458320000012</v>
      </c>
      <c r="P15" s="49">
        <f t="shared" si="5"/>
        <v>0.52124914784779164</v>
      </c>
      <c r="Q15" s="109">
        <v>-72842.379640000028</v>
      </c>
      <c r="R15" s="109">
        <v>-49539.885819999996</v>
      </c>
      <c r="S15" s="49">
        <f t="shared" si="6"/>
        <v>0.47037843213180097</v>
      </c>
      <c r="T15" s="2"/>
      <c r="U15" s="109">
        <f t="shared" si="7"/>
        <v>-8648.8047600000064</v>
      </c>
      <c r="V15" s="109">
        <f t="shared" si="25"/>
        <v>-23302.493820000032</v>
      </c>
      <c r="X15" s="108" t="s">
        <v>75</v>
      </c>
      <c r="Y15" s="109">
        <v>-3539.3093200000003</v>
      </c>
      <c r="Z15" s="109">
        <v>-3381.8285300000025</v>
      </c>
      <c r="AA15" s="49">
        <f t="shared" si="8"/>
        <v>4.6566757777041223E-2</v>
      </c>
      <c r="AB15" s="109">
        <v>-13264.675759999998</v>
      </c>
      <c r="AC15" s="109">
        <v>-13964.600889999998</v>
      </c>
      <c r="AD15" s="49">
        <f t="shared" si="9"/>
        <v>-5.0121384457268214E-2</v>
      </c>
      <c r="AE15" s="2"/>
      <c r="AF15" s="109">
        <f t="shared" si="10"/>
        <v>-157.4807899999978</v>
      </c>
      <c r="AG15" s="109">
        <f t="shared" si="26"/>
        <v>699.92512999999963</v>
      </c>
      <c r="AI15" s="108" t="s">
        <v>75</v>
      </c>
      <c r="AJ15" s="109">
        <v>-1372.1110500000013</v>
      </c>
      <c r="AK15" s="109">
        <v>-1064.9121700000005</v>
      </c>
      <c r="AL15" s="49">
        <f t="shared" si="11"/>
        <v>0.28847344283801424</v>
      </c>
      <c r="AM15" s="109">
        <v>-4453</v>
      </c>
      <c r="AN15" s="109">
        <v>-3443.5258399999998</v>
      </c>
      <c r="AO15" s="49">
        <f t="shared" si="12"/>
        <v>0.29315132422528878</v>
      </c>
      <c r="AP15" s="2"/>
      <c r="AQ15" s="109">
        <f t="shared" si="13"/>
        <v>-307.19888000000083</v>
      </c>
      <c r="AR15" s="109">
        <f t="shared" si="27"/>
        <v>-1009.4741600000002</v>
      </c>
      <c r="AT15" s="108" t="s">
        <v>75</v>
      </c>
      <c r="AU15" s="109">
        <v>-2407.5558100000017</v>
      </c>
      <c r="AV15" s="109">
        <v>-1811.6823800000006</v>
      </c>
      <c r="AW15" s="49">
        <f t="shared" si="14"/>
        <v>0.32890612426224553</v>
      </c>
      <c r="AX15" s="109">
        <v>-7753</v>
      </c>
      <c r="AY15" s="109">
        <v>-4258.6922599999998</v>
      </c>
      <c r="AZ15" s="49">
        <f t="shared" si="15"/>
        <v>0.82051191461296158</v>
      </c>
      <c r="BA15" s="2"/>
      <c r="BB15" s="109">
        <f t="shared" si="16"/>
        <v>-595.87343000000101</v>
      </c>
      <c r="BC15" s="109">
        <f t="shared" si="28"/>
        <v>-3494.3077400000002</v>
      </c>
      <c r="BE15" s="108" t="s">
        <v>75</v>
      </c>
      <c r="BF15" s="109">
        <v>-5698.2909299999956</v>
      </c>
      <c r="BG15" s="109">
        <v>-2090.7569199999998</v>
      </c>
      <c r="BH15" s="49">
        <f t="shared" si="17"/>
        <v>1.7254679276632485</v>
      </c>
      <c r="BI15" s="109">
        <v>-20798.350099999996</v>
      </c>
      <c r="BJ15" s="109">
        <v>-6350.7609800000009</v>
      </c>
      <c r="BK15" s="49">
        <f t="shared" si="18"/>
        <v>2.2749382578715776</v>
      </c>
      <c r="BL15" s="2"/>
      <c r="BM15" s="109">
        <f t="shared" si="19"/>
        <v>-3607.5340099999958</v>
      </c>
      <c r="BN15" s="109">
        <f t="shared" si="29"/>
        <v>-14447.589119999995</v>
      </c>
      <c r="BO15" s="1"/>
      <c r="BP15" s="108" t="s">
        <v>75</v>
      </c>
      <c r="BQ15" s="109">
        <f t="shared" si="30"/>
        <v>-9477.9577899999986</v>
      </c>
      <c r="BR15" s="109">
        <f t="shared" si="20"/>
        <v>-4967.3514700000014</v>
      </c>
      <c r="BS15" s="49">
        <f t="shared" si="21"/>
        <v>0.90805056723719124</v>
      </c>
      <c r="BT15" s="109">
        <f t="shared" si="31"/>
        <v>-33004.350099999996</v>
      </c>
      <c r="BU15" s="109">
        <f t="shared" si="22"/>
        <v>-14052.979080000001</v>
      </c>
      <c r="BV15" s="49">
        <f t="shared" si="23"/>
        <v>1.3485660878106134</v>
      </c>
      <c r="BW15" s="2"/>
      <c r="BX15" s="109">
        <f t="shared" si="24"/>
        <v>-4510.6063199999971</v>
      </c>
      <c r="BY15" s="109">
        <f t="shared" si="32"/>
        <v>-18951.371019999995</v>
      </c>
      <c r="BZ15" s="1"/>
      <c r="CA15" s="1"/>
      <c r="CB15" s="1"/>
      <c r="CC15" s="1"/>
      <c r="CD15" s="1"/>
      <c r="CE15" s="1"/>
      <c r="CF15" s="1"/>
      <c r="CG15" s="1"/>
    </row>
    <row r="16" spans="1:85" ht="15" customHeight="1" x14ac:dyDescent="0.35">
      <c r="B16" s="108" t="s">
        <v>76</v>
      </c>
      <c r="C16" s="47">
        <f>AU25/1000</f>
        <v>17.691216799999999</v>
      </c>
      <c r="D16" s="47">
        <f>AV25/1000</f>
        <v>15.318309669999998</v>
      </c>
      <c r="E16" s="49">
        <f t="shared" si="0"/>
        <v>0.15490659094372528</v>
      </c>
      <c r="F16" s="47">
        <f>AX25/1000</f>
        <v>68.5565</v>
      </c>
      <c r="G16" s="47">
        <f>AY25/1000</f>
        <v>18.881080220000001</v>
      </c>
      <c r="H16" s="49">
        <f t="shared" si="1"/>
        <v>2.630962805156706</v>
      </c>
      <c r="I16" s="66"/>
      <c r="J16" s="47">
        <f t="shared" si="3"/>
        <v>2.3729071300000015</v>
      </c>
      <c r="K16" s="47">
        <f t="shared" si="4"/>
        <v>49.675419779999999</v>
      </c>
      <c r="L16" s="1"/>
      <c r="M16" s="108" t="s">
        <v>47</v>
      </c>
      <c r="N16" s="109">
        <v>3617.9086400000087</v>
      </c>
      <c r="O16" s="109">
        <v>-37563.728639999987</v>
      </c>
      <c r="P16" s="49" t="str">
        <f t="shared" si="5"/>
        <v>n.a</v>
      </c>
      <c r="Q16" s="109">
        <v>-109026.08532</v>
      </c>
      <c r="R16" s="109">
        <v>-150335.04480999999</v>
      </c>
      <c r="S16" s="49">
        <f t="shared" si="6"/>
        <v>-0.27477930739441403</v>
      </c>
      <c r="U16" s="109">
        <f t="shared" si="7"/>
        <v>41181.637279999995</v>
      </c>
      <c r="V16" s="109">
        <f t="shared" si="25"/>
        <v>41308.959489999994</v>
      </c>
      <c r="W16" s="1"/>
      <c r="X16" s="108" t="s">
        <v>47</v>
      </c>
      <c r="Y16" s="109">
        <v>-6355.1198300000033</v>
      </c>
      <c r="Z16" s="109">
        <v>-6386.0799000000006</v>
      </c>
      <c r="AA16" s="49">
        <f t="shared" si="8"/>
        <v>-4.8480555340369991E-3</v>
      </c>
      <c r="AB16" s="109">
        <v>-25408.915820000002</v>
      </c>
      <c r="AC16" s="109">
        <v>-25822.677439999999</v>
      </c>
      <c r="AD16" s="49">
        <f t="shared" si="9"/>
        <v>-1.6023188182611503E-2</v>
      </c>
      <c r="AF16" s="109">
        <f t="shared" si="10"/>
        <v>30.960069999997359</v>
      </c>
      <c r="AG16" s="109">
        <f t="shared" si="26"/>
        <v>413.76161999999749</v>
      </c>
      <c r="AH16" s="1"/>
      <c r="AI16" s="108" t="s">
        <v>47</v>
      </c>
      <c r="AJ16" s="109">
        <v>-2719.4717099999989</v>
      </c>
      <c r="AK16" s="109">
        <v>-2734.6568799999986</v>
      </c>
      <c r="AL16" s="49">
        <f t="shared" si="11"/>
        <v>-5.5528611691861851E-3</v>
      </c>
      <c r="AM16" s="109">
        <v>-10850</v>
      </c>
      <c r="AN16" s="109">
        <v>-5512.8802299999988</v>
      </c>
      <c r="AO16" s="49">
        <f t="shared" si="12"/>
        <v>0.96811821540334875</v>
      </c>
      <c r="AQ16" s="109">
        <f t="shared" si="13"/>
        <v>15.185169999999744</v>
      </c>
      <c r="AR16" s="109">
        <f t="shared" si="27"/>
        <v>-5337.1197700000012</v>
      </c>
      <c r="AS16" s="1"/>
      <c r="AT16" s="108" t="s">
        <v>47</v>
      </c>
      <c r="AU16" s="109">
        <v>-4615.4136999999992</v>
      </c>
      <c r="AV16" s="109">
        <v>-4595.5378200000014</v>
      </c>
      <c r="AW16" s="49">
        <f t="shared" si="14"/>
        <v>4.325038935268255E-3</v>
      </c>
      <c r="AX16" s="109">
        <v>-18410</v>
      </c>
      <c r="AY16" s="109">
        <v>-6231.9240200000013</v>
      </c>
      <c r="AZ16" s="49">
        <f t="shared" si="15"/>
        <v>1.954143847215903</v>
      </c>
      <c r="BB16" s="109">
        <f t="shared" si="16"/>
        <v>-19.875879999997778</v>
      </c>
      <c r="BC16" s="109">
        <f t="shared" si="28"/>
        <v>-12178.075979999998</v>
      </c>
      <c r="BD16" s="1"/>
      <c r="BE16" s="108" t="s">
        <v>47</v>
      </c>
      <c r="BF16" s="109">
        <v>-14362.319400000004</v>
      </c>
      <c r="BG16" s="109">
        <v>-57.856409999999997</v>
      </c>
      <c r="BH16" s="49">
        <f t="shared" si="17"/>
        <v>247.24076364226548</v>
      </c>
      <c r="BI16" s="109">
        <v>-34933.456290000002</v>
      </c>
      <c r="BJ16" s="109">
        <v>-150.54358999999999</v>
      </c>
      <c r="BK16" s="49">
        <f t="shared" si="18"/>
        <v>231.04877929375806</v>
      </c>
      <c r="BM16" s="109">
        <f t="shared" si="19"/>
        <v>-14304.462990000004</v>
      </c>
      <c r="BN16" s="109">
        <f t="shared" si="29"/>
        <v>-34782.912700000001</v>
      </c>
      <c r="BP16" s="108" t="s">
        <v>47</v>
      </c>
      <c r="BQ16" s="109">
        <f t="shared" si="30"/>
        <v>-21697.204810000003</v>
      </c>
      <c r="BR16" s="109">
        <f t="shared" si="20"/>
        <v>-7388.0511100000003</v>
      </c>
      <c r="BS16" s="49">
        <f t="shared" si="21"/>
        <v>1.9367967934915926</v>
      </c>
      <c r="BT16" s="109">
        <f t="shared" si="31"/>
        <v>-64193.456290000002</v>
      </c>
      <c r="BU16" s="109">
        <f t="shared" si="22"/>
        <v>-11895.34784</v>
      </c>
      <c r="BV16" s="49">
        <f t="shared" si="23"/>
        <v>4.3965177944724987</v>
      </c>
      <c r="BX16" s="109">
        <f t="shared" si="24"/>
        <v>-14309.153700000003</v>
      </c>
      <c r="BY16" s="109">
        <f t="shared" si="32"/>
        <v>-52298.10845</v>
      </c>
    </row>
    <row r="17" spans="2:85" ht="15" customHeight="1" thickBot="1" x14ac:dyDescent="0.4">
      <c r="B17" s="108" t="s">
        <v>77</v>
      </c>
      <c r="C17" s="47">
        <f>BF25/1000</f>
        <v>17.145995759999991</v>
      </c>
      <c r="D17" s="47">
        <f>BG25/1000</f>
        <v>18.624074189999998</v>
      </c>
      <c r="E17" s="49">
        <f t="shared" si="0"/>
        <v>-7.9363860717095225E-2</v>
      </c>
      <c r="F17" s="47">
        <f>BI25/1000</f>
        <v>130.47654391</v>
      </c>
      <c r="G17" s="47">
        <f>BJ25/1000</f>
        <v>16.494072160000002</v>
      </c>
      <c r="H17" s="49">
        <f t="shared" si="1"/>
        <v>6.9105112821332524</v>
      </c>
      <c r="I17" s="66"/>
      <c r="J17" s="47">
        <f t="shared" si="3"/>
        <v>-1.4780784300000072</v>
      </c>
      <c r="K17" s="47">
        <f t="shared" si="4"/>
        <v>113.98247175</v>
      </c>
      <c r="L17" s="1"/>
      <c r="M17" s="111" t="s">
        <v>78</v>
      </c>
      <c r="N17" s="112">
        <v>126696.90213999985</v>
      </c>
      <c r="O17" s="112">
        <v>94740.386639999982</v>
      </c>
      <c r="P17" s="113">
        <f t="shared" si="5"/>
        <v>0.33730615456985724</v>
      </c>
      <c r="Q17" s="112">
        <v>570932.16116999974</v>
      </c>
      <c r="R17" s="112">
        <v>489730.36903999996</v>
      </c>
      <c r="S17" s="113">
        <f t="shared" si="6"/>
        <v>0.1658091824878587</v>
      </c>
      <c r="U17" s="112">
        <f t="shared" si="7"/>
        <v>31956.515499999863</v>
      </c>
      <c r="V17" s="112">
        <f t="shared" si="25"/>
        <v>81201.792129999783</v>
      </c>
      <c r="W17" s="1"/>
      <c r="X17" s="111" t="s">
        <v>78</v>
      </c>
      <c r="Y17" s="112">
        <v>35234.84878</v>
      </c>
      <c r="Z17" s="112">
        <v>29216.243460000002</v>
      </c>
      <c r="AA17" s="113">
        <f t="shared" si="8"/>
        <v>0.20600202514878685</v>
      </c>
      <c r="AB17" s="112">
        <v>109230.86629999999</v>
      </c>
      <c r="AC17" s="112">
        <v>96266.519709999993</v>
      </c>
      <c r="AD17" s="113">
        <f t="shared" si="9"/>
        <v>0.13467139592305521</v>
      </c>
      <c r="AF17" s="112">
        <f t="shared" si="10"/>
        <v>6018.6053199999988</v>
      </c>
      <c r="AG17" s="112">
        <f t="shared" si="26"/>
        <v>12964.346590000001</v>
      </c>
      <c r="AH17" s="1"/>
      <c r="AI17" s="111" t="s">
        <v>78</v>
      </c>
      <c r="AJ17" s="112">
        <v>23076.144139999997</v>
      </c>
      <c r="AK17" s="112">
        <v>22451.089689999997</v>
      </c>
      <c r="AL17" s="113">
        <f t="shared" si="11"/>
        <v>2.784071769480323E-2</v>
      </c>
      <c r="AM17" s="112">
        <v>91835</v>
      </c>
      <c r="AN17" s="112">
        <v>47087.390469999998</v>
      </c>
      <c r="AO17" s="113">
        <f t="shared" si="12"/>
        <v>0.95030981932433267</v>
      </c>
      <c r="AQ17" s="112">
        <f t="shared" si="13"/>
        <v>625.05444999999963</v>
      </c>
      <c r="AR17" s="112">
        <f t="shared" si="27"/>
        <v>44747.609530000002</v>
      </c>
      <c r="AS17" s="1"/>
      <c r="AT17" s="111" t="s">
        <v>78</v>
      </c>
      <c r="AU17" s="112">
        <v>35382.433599999997</v>
      </c>
      <c r="AV17" s="112">
        <v>30636.619339999997</v>
      </c>
      <c r="AW17" s="113">
        <f t="shared" si="14"/>
        <v>0.15490659094372528</v>
      </c>
      <c r="AX17" s="112">
        <v>137113</v>
      </c>
      <c r="AY17" s="112">
        <v>37762.16044</v>
      </c>
      <c r="AZ17" s="113">
        <f t="shared" si="15"/>
        <v>2.6309628051567064</v>
      </c>
      <c r="BB17" s="112">
        <f t="shared" si="16"/>
        <v>4745.8142599999992</v>
      </c>
      <c r="BC17" s="112">
        <f t="shared" si="28"/>
        <v>99350.839559999993</v>
      </c>
      <c r="BD17" s="1"/>
      <c r="BE17" s="111" t="s">
        <v>78</v>
      </c>
      <c r="BF17" s="112">
        <v>34291.991519999981</v>
      </c>
      <c r="BG17" s="112">
        <v>37248.148379999999</v>
      </c>
      <c r="BH17" s="113">
        <f t="shared" si="17"/>
        <v>-7.9363860717095225E-2</v>
      </c>
      <c r="BI17" s="112">
        <v>260953.08781999999</v>
      </c>
      <c r="BJ17" s="112">
        <v>32988.144320000007</v>
      </c>
      <c r="BK17" s="113">
        <f t="shared" si="18"/>
        <v>6.9105112821332515</v>
      </c>
      <c r="BM17" s="112">
        <f t="shared" si="19"/>
        <v>-2956.1568600000173</v>
      </c>
      <c r="BN17" s="112">
        <f t="shared" si="29"/>
        <v>227964.94349999999</v>
      </c>
      <c r="BP17" s="111" t="s">
        <v>78</v>
      </c>
      <c r="BQ17" s="112">
        <f t="shared" si="30"/>
        <v>92750.569259999975</v>
      </c>
      <c r="BR17" s="112">
        <f t="shared" si="20"/>
        <v>90335.857409999997</v>
      </c>
      <c r="BS17" s="113">
        <f t="shared" si="21"/>
        <v>2.6730380595609171E-2</v>
      </c>
      <c r="BT17" s="112">
        <f t="shared" si="31"/>
        <v>489901.08782000002</v>
      </c>
      <c r="BU17" s="112">
        <f t="shared" si="22"/>
        <v>117837.69523</v>
      </c>
      <c r="BV17" s="113">
        <f t="shared" si="23"/>
        <v>3.1574225197106314</v>
      </c>
      <c r="BX17" s="112">
        <f t="shared" si="24"/>
        <v>2414.7118499999779</v>
      </c>
      <c r="BY17" s="112">
        <f t="shared" si="32"/>
        <v>372063.39259</v>
      </c>
      <c r="BZ17" s="107"/>
      <c r="CA17" s="107"/>
      <c r="CB17" s="107"/>
      <c r="CC17" s="107"/>
      <c r="CD17" s="107"/>
      <c r="CE17" s="107"/>
      <c r="CF17" s="107"/>
      <c r="CG17" s="107"/>
    </row>
    <row r="18" spans="2:85" s="107" customFormat="1" ht="15" customHeight="1" thickBot="1" x14ac:dyDescent="0.4">
      <c r="B18" s="86" t="s">
        <v>49</v>
      </c>
      <c r="C18" s="87">
        <f>SUM(C11:C12)</f>
        <v>955.69047759919977</v>
      </c>
      <c r="D18" s="87">
        <f>SUM(D11:D12)</f>
        <v>743.07881005600007</v>
      </c>
      <c r="E18" s="114">
        <f t="shared" si="0"/>
        <v>0.2861226355346842</v>
      </c>
      <c r="F18" s="87">
        <f>SUM(F11:F12)</f>
        <v>3720.9306879196997</v>
      </c>
      <c r="G18" s="87">
        <f>SUM(G11:G12)</f>
        <v>2822.7622608775</v>
      </c>
      <c r="H18" s="114">
        <f t="shared" si="1"/>
        <v>0.31818776929623183</v>
      </c>
      <c r="I18" s="66"/>
      <c r="J18" s="87">
        <f t="shared" si="3"/>
        <v>212.6116675431997</v>
      </c>
      <c r="K18" s="87">
        <f t="shared" si="4"/>
        <v>898.16842704219971</v>
      </c>
      <c r="M18" s="102" t="s">
        <v>79</v>
      </c>
      <c r="N18" s="110">
        <f>N14+N15+N16</f>
        <v>130751.52090999986</v>
      </c>
      <c r="O18" s="110">
        <f>O14+O15+O16</f>
        <v>66082.808599999989</v>
      </c>
      <c r="P18" s="60">
        <f t="shared" si="5"/>
        <v>0.97860114725813707</v>
      </c>
      <c r="Q18" s="110">
        <f t="shared" ref="Q18:R18" si="33">Q14+Q15+Q16</f>
        <v>462632.88844999979</v>
      </c>
      <c r="R18" s="110">
        <f t="shared" si="33"/>
        <v>348592.36176999996</v>
      </c>
      <c r="S18" s="60">
        <f t="shared" si="6"/>
        <v>0.32714579889516737</v>
      </c>
      <c r="T18" s="2"/>
      <c r="U18" s="110">
        <f t="shared" si="7"/>
        <v>64668.712309999872</v>
      </c>
      <c r="V18" s="110">
        <f t="shared" si="25"/>
        <v>114040.52667999984</v>
      </c>
      <c r="X18" s="102" t="s">
        <v>79</v>
      </c>
      <c r="Y18" s="110">
        <f>Y14+Y15+Y16</f>
        <v>28879.728949999997</v>
      </c>
      <c r="Z18" s="110">
        <f>Z14+Z15+Z16</f>
        <v>23156.319779999998</v>
      </c>
      <c r="AA18" s="60">
        <f t="shared" si="8"/>
        <v>0.24716402366075796</v>
      </c>
      <c r="AB18" s="110">
        <f t="shared" ref="AB18:AC18" si="34">AB14+AB15+AB16</f>
        <v>83821.95048</v>
      </c>
      <c r="AC18" s="110">
        <f t="shared" si="34"/>
        <v>72314.35845</v>
      </c>
      <c r="AD18" s="60">
        <f t="shared" si="9"/>
        <v>0.15913287867936554</v>
      </c>
      <c r="AE18" s="2"/>
      <c r="AF18" s="110">
        <f t="shared" si="10"/>
        <v>5723.409169999999</v>
      </c>
      <c r="AG18" s="110">
        <f t="shared" si="26"/>
        <v>11507.59203</v>
      </c>
      <c r="AI18" s="102" t="s">
        <v>79</v>
      </c>
      <c r="AJ18" s="110">
        <f>AJ14+AJ15+AJ16</f>
        <v>20356.672429999999</v>
      </c>
      <c r="AK18" s="110">
        <f>AK14+AK15+AK16</f>
        <v>19716.432810000002</v>
      </c>
      <c r="AL18" s="60">
        <f t="shared" si="11"/>
        <v>3.2472386164868139E-2</v>
      </c>
      <c r="AM18" s="110">
        <f t="shared" ref="AM18:AN18" si="35">AM14+AM15+AM16</f>
        <v>80985</v>
      </c>
      <c r="AN18" s="110">
        <f t="shared" si="35"/>
        <v>41574.510240000003</v>
      </c>
      <c r="AO18" s="60">
        <f t="shared" si="12"/>
        <v>0.9479483830956128</v>
      </c>
      <c r="AP18" s="2"/>
      <c r="AQ18" s="110">
        <f t="shared" si="13"/>
        <v>640.23961999999665</v>
      </c>
      <c r="AR18" s="110">
        <f t="shared" si="27"/>
        <v>39410.489759999997</v>
      </c>
      <c r="AT18" s="102" t="s">
        <v>79</v>
      </c>
      <c r="AU18" s="110">
        <f>AU14+AU15+AU16</f>
        <v>30767.019899999992</v>
      </c>
      <c r="AV18" s="110">
        <f>AV14+AV15+AV16</f>
        <v>26041.081519999992</v>
      </c>
      <c r="AW18" s="60">
        <f t="shared" si="14"/>
        <v>0.18148011158332267</v>
      </c>
      <c r="AX18" s="110">
        <f t="shared" ref="AX18:AY18" si="36">AX14+AX15+AX16</f>
        <v>118703</v>
      </c>
      <c r="AY18" s="110">
        <f t="shared" si="36"/>
        <v>31530.23641999999</v>
      </c>
      <c r="AZ18" s="60">
        <f t="shared" si="15"/>
        <v>2.7647354881457638</v>
      </c>
      <c r="BA18" s="2"/>
      <c r="BB18" s="110">
        <f t="shared" si="16"/>
        <v>4725.9383799999996</v>
      </c>
      <c r="BC18" s="110">
        <f t="shared" si="28"/>
        <v>87172.763580000013</v>
      </c>
      <c r="BE18" s="102" t="s">
        <v>79</v>
      </c>
      <c r="BF18" s="110">
        <f>BF14+BF15+BF16</f>
        <v>69222.233019999985</v>
      </c>
      <c r="BG18" s="110">
        <f>BG14+BG15+BG16</f>
        <v>37190.291969999998</v>
      </c>
      <c r="BH18" s="60">
        <f t="shared" si="17"/>
        <v>0.86129845594756138</v>
      </c>
      <c r="BI18" s="110">
        <f t="shared" ref="BI18:BJ18" si="37">BI14+BI15+BI16</f>
        <v>275310.37742999999</v>
      </c>
      <c r="BJ18" s="110">
        <f t="shared" si="37"/>
        <v>32837.600729999998</v>
      </c>
      <c r="BK18" s="60">
        <f t="shared" si="18"/>
        <v>7.3839979569055441</v>
      </c>
      <c r="BL18" s="2"/>
      <c r="BM18" s="110">
        <f t="shared" si="19"/>
        <v>32031.941049999987</v>
      </c>
      <c r="BN18" s="110">
        <f t="shared" si="29"/>
        <v>242472.77669999999</v>
      </c>
      <c r="BO18" s="1"/>
      <c r="BP18" s="102" t="s">
        <v>79</v>
      </c>
      <c r="BQ18" s="110">
        <f t="shared" si="30"/>
        <v>120345.92534999998</v>
      </c>
      <c r="BR18" s="110">
        <f t="shared" si="20"/>
        <v>82947.806299999997</v>
      </c>
      <c r="BS18" s="60">
        <f t="shared" si="21"/>
        <v>0.45086326833938206</v>
      </c>
      <c r="BT18" s="110">
        <f t="shared" si="31"/>
        <v>474998.37742999999</v>
      </c>
      <c r="BU18" s="110">
        <f t="shared" si="22"/>
        <v>105942.34738999998</v>
      </c>
      <c r="BV18" s="60">
        <f t="shared" si="23"/>
        <v>3.4835553405420923</v>
      </c>
      <c r="BW18" s="2"/>
      <c r="BX18" s="110">
        <f t="shared" si="24"/>
        <v>37398.119049999979</v>
      </c>
      <c r="BY18" s="110">
        <f t="shared" si="32"/>
        <v>369056.03003999998</v>
      </c>
    </row>
    <row r="19" spans="2:85" s="107" customFormat="1" ht="15" customHeight="1" x14ac:dyDescent="0.35">
      <c r="M19" s="108" t="s">
        <v>80</v>
      </c>
      <c r="N19" s="109">
        <v>-18387.944939999987</v>
      </c>
      <c r="O19" s="109">
        <v>-18601.591979999954</v>
      </c>
      <c r="P19" s="49">
        <f t="shared" si="5"/>
        <v>-1.1485416959455708E-2</v>
      </c>
      <c r="Q19" s="109">
        <v>-111083.87515000001</v>
      </c>
      <c r="R19" s="109">
        <v>-107693.95645999996</v>
      </c>
      <c r="S19" s="49">
        <f t="shared" si="6"/>
        <v>3.1477334489601994E-2</v>
      </c>
      <c r="T19" s="2"/>
      <c r="U19" s="109">
        <f t="shared" si="7"/>
        <v>213.64703999996709</v>
      </c>
      <c r="V19" s="109">
        <f t="shared" si="25"/>
        <v>-3389.9186900000495</v>
      </c>
      <c r="X19" s="108" t="s">
        <v>80</v>
      </c>
      <c r="Y19" s="109">
        <v>-558.50981999999749</v>
      </c>
      <c r="Z19" s="109">
        <v>-1116.4269299999996</v>
      </c>
      <c r="AA19" s="49">
        <f t="shared" si="8"/>
        <v>-0.49973455047344861</v>
      </c>
      <c r="AB19" s="109">
        <v>-4759.3832199999979</v>
      </c>
      <c r="AC19" s="109">
        <v>-5576.9243299999998</v>
      </c>
      <c r="AD19" s="49">
        <f t="shared" si="9"/>
        <v>-0.14659354540677472</v>
      </c>
      <c r="AE19" s="2"/>
      <c r="AF19" s="109">
        <f t="shared" si="10"/>
        <v>557.91711000000214</v>
      </c>
      <c r="AG19" s="109">
        <f t="shared" si="26"/>
        <v>817.54111000000194</v>
      </c>
      <c r="AI19" s="108" t="s">
        <v>80</v>
      </c>
      <c r="AJ19" s="109">
        <v>701.90446000000065</v>
      </c>
      <c r="AK19" s="109">
        <v>1619.0272800000002</v>
      </c>
      <c r="AL19" s="49">
        <f t="shared" si="11"/>
        <v>-0.56646532849032627</v>
      </c>
      <c r="AM19" s="109">
        <v>4359</v>
      </c>
      <c r="AN19" s="109">
        <v>4593.4532100000006</v>
      </c>
      <c r="AO19" s="49">
        <f t="shared" si="12"/>
        <v>-5.104073107560847E-2</v>
      </c>
      <c r="AP19" s="2"/>
      <c r="AQ19" s="109">
        <f t="shared" si="13"/>
        <v>-917.12281999999959</v>
      </c>
      <c r="AR19" s="109">
        <f t="shared" si="27"/>
        <v>-234.45321000000058</v>
      </c>
      <c r="AT19" s="108" t="s">
        <v>80</v>
      </c>
      <c r="AU19" s="109">
        <v>1353.3096299999997</v>
      </c>
      <c r="AV19" s="109">
        <v>588.00541999999996</v>
      </c>
      <c r="AW19" s="49">
        <f t="shared" si="14"/>
        <v>1.301525775051529</v>
      </c>
      <c r="AX19" s="109">
        <v>6692</v>
      </c>
      <c r="AY19" s="109">
        <v>2240.6980400000002</v>
      </c>
      <c r="AZ19" s="49">
        <f t="shared" si="15"/>
        <v>1.9865693103386652</v>
      </c>
      <c r="BA19" s="2"/>
      <c r="BB19" s="109">
        <f t="shared" si="16"/>
        <v>765.30420999999978</v>
      </c>
      <c r="BC19" s="109">
        <f t="shared" si="28"/>
        <v>4451.3019599999998</v>
      </c>
      <c r="BE19" s="108" t="s">
        <v>80</v>
      </c>
      <c r="BF19" s="109">
        <v>-40930.313000000024</v>
      </c>
      <c r="BG19" s="109">
        <v>-50799.895439999993</v>
      </c>
      <c r="BH19" s="49">
        <f t="shared" si="17"/>
        <v>-0.19428351878513184</v>
      </c>
      <c r="BI19" s="109">
        <v>-195315.02523999999</v>
      </c>
      <c r="BJ19" s="109">
        <v>-225800.02101</v>
      </c>
      <c r="BK19" s="49">
        <f t="shared" si="18"/>
        <v>-0.13500882610037457</v>
      </c>
      <c r="BL19" s="2"/>
      <c r="BM19" s="109">
        <f t="shared" si="19"/>
        <v>9869.5824399999692</v>
      </c>
      <c r="BN19" s="109">
        <f t="shared" si="29"/>
        <v>30484.995770000009</v>
      </c>
      <c r="BO19" s="1"/>
      <c r="BP19" s="108" t="s">
        <v>80</v>
      </c>
      <c r="BQ19" s="109">
        <f t="shared" si="30"/>
        <v>-38875.098910000022</v>
      </c>
      <c r="BR19" s="109">
        <f t="shared" si="20"/>
        <v>-48592.86273999999</v>
      </c>
      <c r="BS19" s="49">
        <f t="shared" si="21"/>
        <v>-0.19998335726782845</v>
      </c>
      <c r="BT19" s="109">
        <f t="shared" si="31"/>
        <v>-184264.02523999999</v>
      </c>
      <c r="BU19" s="109">
        <f t="shared" si="22"/>
        <v>-218965.86976</v>
      </c>
      <c r="BV19" s="49">
        <f t="shared" si="23"/>
        <v>-0.158480609594707</v>
      </c>
      <c r="BW19" s="2"/>
      <c r="BX19" s="109">
        <f t="shared" si="24"/>
        <v>9717.7638299999671</v>
      </c>
      <c r="BY19" s="109">
        <f t="shared" si="32"/>
        <v>34701.844520000013</v>
      </c>
      <c r="BZ19" s="1"/>
      <c r="CA19" s="1"/>
      <c r="CB19" s="1"/>
      <c r="CC19" s="1"/>
      <c r="CD19" s="1"/>
      <c r="CE19" s="1"/>
      <c r="CF19" s="1"/>
      <c r="CG19" s="1"/>
    </row>
    <row r="20" spans="2:85" ht="15" customHeight="1" thickBot="1" x14ac:dyDescent="0.4">
      <c r="L20" s="1"/>
      <c r="M20" s="108" t="s">
        <v>81</v>
      </c>
      <c r="N20" s="109">
        <v>-436.71013000000136</v>
      </c>
      <c r="O20" s="109">
        <v>-8906.150599999999</v>
      </c>
      <c r="P20" s="49">
        <f t="shared" si="5"/>
        <v>-0.95096533287905538</v>
      </c>
      <c r="Q20" s="109">
        <v>-726.81260000000066</v>
      </c>
      <c r="R20" s="109">
        <v>-9197.0375399999994</v>
      </c>
      <c r="S20" s="49">
        <f t="shared" si="6"/>
        <v>-0.9209731832844078</v>
      </c>
      <c r="U20" s="109">
        <f t="shared" si="7"/>
        <v>8469.4404699999977</v>
      </c>
      <c r="V20" s="109">
        <f t="shared" si="25"/>
        <v>8470.2249399999982</v>
      </c>
      <c r="W20" s="1"/>
      <c r="X20" s="108" t="s">
        <v>81</v>
      </c>
      <c r="Y20" s="109">
        <v>0</v>
      </c>
      <c r="Z20" s="109">
        <v>-326.15621999999985</v>
      </c>
      <c r="AA20" s="49">
        <f t="shared" si="8"/>
        <v>-1</v>
      </c>
      <c r="AB20" s="109">
        <v>0</v>
      </c>
      <c r="AC20" s="109">
        <v>-1870.5161799999998</v>
      </c>
      <c r="AD20" s="49">
        <f t="shared" si="9"/>
        <v>-1</v>
      </c>
      <c r="AF20" s="109">
        <f t="shared" si="10"/>
        <v>326.15621999999985</v>
      </c>
      <c r="AG20" s="109">
        <f t="shared" si="26"/>
        <v>1870.5161799999998</v>
      </c>
      <c r="AH20" s="1"/>
      <c r="AI20" s="108" t="s">
        <v>81</v>
      </c>
      <c r="AJ20" s="109">
        <v>0</v>
      </c>
      <c r="AK20" s="109">
        <v>0</v>
      </c>
      <c r="AL20" s="49" t="str">
        <f t="shared" si="11"/>
        <v>N.A.</v>
      </c>
      <c r="AM20" s="109">
        <v>0</v>
      </c>
      <c r="AN20" s="109">
        <v>0</v>
      </c>
      <c r="AO20" s="49" t="str">
        <f t="shared" si="12"/>
        <v>N.A.</v>
      </c>
      <c r="AQ20" s="109">
        <f t="shared" si="13"/>
        <v>0</v>
      </c>
      <c r="AR20" s="109">
        <f t="shared" si="27"/>
        <v>0</v>
      </c>
      <c r="AS20" s="1"/>
      <c r="AT20" s="108" t="s">
        <v>81</v>
      </c>
      <c r="AU20" s="109">
        <v>0</v>
      </c>
      <c r="AV20" s="109">
        <v>0</v>
      </c>
      <c r="AW20" s="49" t="str">
        <f t="shared" si="14"/>
        <v>N.A.</v>
      </c>
      <c r="AX20" s="109">
        <v>0</v>
      </c>
      <c r="AY20" s="109">
        <v>0</v>
      </c>
      <c r="AZ20" s="49" t="str">
        <f t="shared" si="15"/>
        <v>N.A.</v>
      </c>
      <c r="BB20" s="109">
        <f t="shared" si="16"/>
        <v>0</v>
      </c>
      <c r="BC20" s="109">
        <f t="shared" si="28"/>
        <v>0</v>
      </c>
      <c r="BD20" s="1"/>
      <c r="BE20" s="108" t="s">
        <v>81</v>
      </c>
      <c r="BF20" s="109">
        <v>-49292.560900000004</v>
      </c>
      <c r="BG20" s="109">
        <v>0</v>
      </c>
      <c r="BH20" s="49" t="str">
        <f t="shared" si="17"/>
        <v>N.A.</v>
      </c>
      <c r="BI20" s="109">
        <v>-49290.745900000002</v>
      </c>
      <c r="BJ20" s="109">
        <v>0</v>
      </c>
      <c r="BK20" s="49" t="str">
        <f t="shared" si="18"/>
        <v>N.A.</v>
      </c>
      <c r="BM20" s="109">
        <f t="shared" si="19"/>
        <v>-49292.560900000004</v>
      </c>
      <c r="BN20" s="109">
        <f t="shared" si="29"/>
        <v>-49290.745900000002</v>
      </c>
      <c r="BP20" s="108" t="s">
        <v>81</v>
      </c>
      <c r="BQ20" s="109">
        <f t="shared" si="30"/>
        <v>-49292.560900000004</v>
      </c>
      <c r="BR20" s="109">
        <f t="shared" si="20"/>
        <v>0</v>
      </c>
      <c r="BS20" s="49" t="str">
        <f t="shared" si="21"/>
        <v>N.A.</v>
      </c>
      <c r="BT20" s="109">
        <f t="shared" si="31"/>
        <v>-49290.745900000002</v>
      </c>
      <c r="BU20" s="109">
        <f t="shared" si="22"/>
        <v>0</v>
      </c>
      <c r="BV20" s="49" t="str">
        <f t="shared" si="23"/>
        <v>N.A.</v>
      </c>
      <c r="BX20" s="109">
        <f t="shared" si="24"/>
        <v>-49292.560900000004</v>
      </c>
      <c r="BY20" s="109">
        <f t="shared" si="32"/>
        <v>-49290.745900000002</v>
      </c>
    </row>
    <row r="21" spans="2:85" ht="15" customHeight="1" thickBot="1" x14ac:dyDescent="0.4">
      <c r="B21" s="27" t="s">
        <v>82</v>
      </c>
      <c r="C21" s="414" t="s">
        <v>34</v>
      </c>
      <c r="D21" s="415"/>
      <c r="E21" s="415"/>
      <c r="F21" s="415"/>
      <c r="G21" s="415"/>
      <c r="H21" s="416"/>
      <c r="J21" s="413" t="s">
        <v>10</v>
      </c>
      <c r="K21" s="413" t="s">
        <v>11</v>
      </c>
      <c r="L21" s="1"/>
      <c r="M21" s="102" t="s">
        <v>83</v>
      </c>
      <c r="N21" s="110">
        <v>111926.86583999987</v>
      </c>
      <c r="O21" s="110">
        <v>38575.066020000035</v>
      </c>
      <c r="P21" s="60">
        <f t="shared" si="5"/>
        <v>1.9015340059811976</v>
      </c>
      <c r="Q21" s="110">
        <v>350822.20069999981</v>
      </c>
      <c r="R21" s="110">
        <v>231701.36777000001</v>
      </c>
      <c r="S21" s="60">
        <f t="shared" si="6"/>
        <v>0.51411363720669079</v>
      </c>
      <c r="U21" s="110">
        <f t="shared" si="7"/>
        <v>73351.79981999984</v>
      </c>
      <c r="V21" s="110">
        <f t="shared" si="25"/>
        <v>119120.8329299998</v>
      </c>
      <c r="W21" s="1"/>
      <c r="X21" s="102" t="s">
        <v>83</v>
      </c>
      <c r="Y21" s="110">
        <v>28321.219129999998</v>
      </c>
      <c r="Z21" s="110">
        <v>21713.736629999999</v>
      </c>
      <c r="AA21" s="60">
        <f t="shared" si="8"/>
        <v>0.30429965199407505</v>
      </c>
      <c r="AB21" s="110">
        <v>79062.567259999996</v>
      </c>
      <c r="AC21" s="110">
        <v>64866.917939999992</v>
      </c>
      <c r="AD21" s="60">
        <f t="shared" si="9"/>
        <v>0.21884266696824661</v>
      </c>
      <c r="AF21" s="110">
        <f t="shared" si="10"/>
        <v>6607.4824999999983</v>
      </c>
      <c r="AG21" s="110">
        <f t="shared" si="26"/>
        <v>14195.649320000004</v>
      </c>
      <c r="AH21" s="1"/>
      <c r="AI21" s="102" t="s">
        <v>83</v>
      </c>
      <c r="AJ21" s="110">
        <v>21058.57689</v>
      </c>
      <c r="AK21" s="110">
        <v>21335.46009</v>
      </c>
      <c r="AL21" s="60">
        <f t="shared" si="11"/>
        <v>-1.297760624012867E-2</v>
      </c>
      <c r="AM21" s="110">
        <v>85344</v>
      </c>
      <c r="AN21" s="110">
        <v>46167.963450000003</v>
      </c>
      <c r="AO21" s="60">
        <f t="shared" si="12"/>
        <v>0.84855457383186761</v>
      </c>
      <c r="AQ21" s="110">
        <f t="shared" si="13"/>
        <v>-276.88320000000022</v>
      </c>
      <c r="AR21" s="110">
        <f t="shared" si="27"/>
        <v>39176.036549999997</v>
      </c>
      <c r="AS21" s="1"/>
      <c r="AT21" s="102" t="s">
        <v>83</v>
      </c>
      <c r="AU21" s="110">
        <v>32120.329529999992</v>
      </c>
      <c r="AV21" s="110">
        <v>26629.086939999997</v>
      </c>
      <c r="AW21" s="60">
        <f t="shared" si="14"/>
        <v>0.20621219955354553</v>
      </c>
      <c r="AX21" s="110">
        <v>125395</v>
      </c>
      <c r="AY21" s="110">
        <v>33770.934459999997</v>
      </c>
      <c r="AZ21" s="60">
        <f t="shared" si="15"/>
        <v>2.7131042420079958</v>
      </c>
      <c r="BB21" s="110">
        <f t="shared" si="16"/>
        <v>5491.2425899999944</v>
      </c>
      <c r="BC21" s="110">
        <f t="shared" si="28"/>
        <v>91624.065540000011</v>
      </c>
      <c r="BD21" s="1"/>
      <c r="BE21" s="102" t="s">
        <v>83</v>
      </c>
      <c r="BF21" s="110">
        <v>-21000.640880000043</v>
      </c>
      <c r="BG21" s="110">
        <v>-13609.603469999995</v>
      </c>
      <c r="BH21" s="60">
        <f t="shared" si="17"/>
        <v>0.54307514736136908</v>
      </c>
      <c r="BI21" s="110">
        <v>30704.606289999996</v>
      </c>
      <c r="BJ21" s="110">
        <v>-192962.42027999999</v>
      </c>
      <c r="BK21" s="60" t="str">
        <f t="shared" si="18"/>
        <v>n.a</v>
      </c>
      <c r="BM21" s="110">
        <f t="shared" si="19"/>
        <v>-7391.0374100000481</v>
      </c>
      <c r="BN21" s="110">
        <f t="shared" si="29"/>
        <v>223667.02656999999</v>
      </c>
      <c r="BP21" s="102" t="s">
        <v>83</v>
      </c>
      <c r="BQ21" s="110">
        <f t="shared" si="30"/>
        <v>32178.265539999949</v>
      </c>
      <c r="BR21" s="110">
        <f t="shared" si="20"/>
        <v>34354.943560000007</v>
      </c>
      <c r="BS21" s="60">
        <f t="shared" si="21"/>
        <v>-6.3358509560597742E-2</v>
      </c>
      <c r="BT21" s="110">
        <f t="shared" si="31"/>
        <v>241443.60629</v>
      </c>
      <c r="BU21" s="110">
        <f t="shared" si="22"/>
        <v>-113023.52236999999</v>
      </c>
      <c r="BV21" s="60" t="str">
        <f t="shared" si="23"/>
        <v>n.a</v>
      </c>
      <c r="BX21" s="110">
        <f t="shared" si="24"/>
        <v>-2176.6780200000576</v>
      </c>
      <c r="BY21" s="110">
        <f t="shared" si="32"/>
        <v>354467.12865999999</v>
      </c>
      <c r="BZ21" s="107"/>
      <c r="CA21" s="107"/>
      <c r="CB21" s="107"/>
      <c r="CC21" s="107"/>
      <c r="CD21" s="107"/>
      <c r="CE21" s="107"/>
      <c r="CF21" s="107"/>
      <c r="CG21" s="107"/>
    </row>
    <row r="22" spans="2:85" s="107" customFormat="1" ht="15" customHeight="1" x14ac:dyDescent="0.35">
      <c r="B22" s="98" t="s">
        <v>36</v>
      </c>
      <c r="C22" s="28" t="s">
        <v>403</v>
      </c>
      <c r="D22" s="73" t="s">
        <v>404</v>
      </c>
      <c r="E22" s="28" t="s">
        <v>64</v>
      </c>
      <c r="F22" s="28" t="s">
        <v>405</v>
      </c>
      <c r="G22" s="28" t="s">
        <v>406</v>
      </c>
      <c r="H22" s="28" t="s">
        <v>64</v>
      </c>
      <c r="I22" s="67"/>
      <c r="J22" s="413"/>
      <c r="K22" s="413"/>
      <c r="M22" s="108" t="s">
        <v>84</v>
      </c>
      <c r="N22" s="109">
        <v>2151.6138099999989</v>
      </c>
      <c r="O22" s="109">
        <v>7659.38681</v>
      </c>
      <c r="P22" s="49">
        <f t="shared" si="5"/>
        <v>-0.71908798140461072</v>
      </c>
      <c r="Q22" s="109">
        <v>-15759.123</v>
      </c>
      <c r="R22" s="109">
        <v>-755.79133999999976</v>
      </c>
      <c r="S22" s="49">
        <f t="shared" si="6"/>
        <v>19.851155822981518</v>
      </c>
      <c r="T22" s="2"/>
      <c r="U22" s="109">
        <f t="shared" si="7"/>
        <v>-5507.773000000001</v>
      </c>
      <c r="V22" s="109">
        <f t="shared" si="25"/>
        <v>-15003.33166</v>
      </c>
      <c r="X22" s="108" t="s">
        <v>84</v>
      </c>
      <c r="Y22" s="109">
        <v>-810.64469999999983</v>
      </c>
      <c r="Z22" s="109">
        <v>-625.5769700000003</v>
      </c>
      <c r="AA22" s="49">
        <f t="shared" si="8"/>
        <v>0.2958352670815223</v>
      </c>
      <c r="AB22" s="109">
        <v>-2388.47604</v>
      </c>
      <c r="AC22" s="109">
        <v>-2167.0443300000002</v>
      </c>
      <c r="AD22" s="49">
        <f t="shared" si="9"/>
        <v>0.10218143991544459</v>
      </c>
      <c r="AE22" s="2"/>
      <c r="AF22" s="109">
        <f t="shared" si="10"/>
        <v>-185.06772999999953</v>
      </c>
      <c r="AG22" s="109">
        <f t="shared" si="26"/>
        <v>-221.43170999999984</v>
      </c>
      <c r="AI22" s="108" t="s">
        <v>84</v>
      </c>
      <c r="AJ22" s="109">
        <v>-2146.1417599999986</v>
      </c>
      <c r="AK22" s="109">
        <v>-7266.8903499999997</v>
      </c>
      <c r="AL22" s="49">
        <f t="shared" si="11"/>
        <v>-0.70466848175299646</v>
      </c>
      <c r="AM22" s="109">
        <v>-13716</v>
      </c>
      <c r="AN22" s="109">
        <v>-15549.32459</v>
      </c>
      <c r="AO22" s="49">
        <f t="shared" si="12"/>
        <v>-0.11790380857950822</v>
      </c>
      <c r="AP22" s="2"/>
      <c r="AQ22" s="109">
        <f t="shared" si="13"/>
        <v>5120.7485900000011</v>
      </c>
      <c r="AR22" s="109">
        <f t="shared" si="27"/>
        <v>1833.3245900000002</v>
      </c>
      <c r="AT22" s="108" t="s">
        <v>84</v>
      </c>
      <c r="AU22" s="109">
        <v>-4254.1196099999997</v>
      </c>
      <c r="AV22" s="109">
        <v>-9140.3077499999999</v>
      </c>
      <c r="AW22" s="49">
        <f t="shared" si="14"/>
        <v>-0.53457588886982499</v>
      </c>
      <c r="AX22" s="109">
        <v>-18869</v>
      </c>
      <c r="AY22" s="109">
        <v>-11423.93986</v>
      </c>
      <c r="AZ22" s="49">
        <f t="shared" si="15"/>
        <v>0.65170687444427777</v>
      </c>
      <c r="BA22" s="2"/>
      <c r="BB22" s="109">
        <f t="shared" si="16"/>
        <v>4886.1881400000002</v>
      </c>
      <c r="BC22" s="109">
        <f t="shared" si="28"/>
        <v>-7445.0601399999996</v>
      </c>
      <c r="BE22" s="108" t="s">
        <v>84</v>
      </c>
      <c r="BF22" s="109">
        <v>8690.1147800000017</v>
      </c>
      <c r="BG22" s="109">
        <v>3945.6450600000026</v>
      </c>
      <c r="BH22" s="49">
        <f t="shared" si="17"/>
        <v>1.2024573036480874</v>
      </c>
      <c r="BI22" s="109">
        <v>-10353.940769999999</v>
      </c>
      <c r="BJ22" s="109">
        <v>65264.176010000003</v>
      </c>
      <c r="BK22" s="49" t="str">
        <f t="shared" si="18"/>
        <v>n.a</v>
      </c>
      <c r="BL22" s="2"/>
      <c r="BM22" s="109">
        <f t="shared" si="19"/>
        <v>4744.4697199999991</v>
      </c>
      <c r="BN22" s="109">
        <f t="shared" si="29"/>
        <v>-75618.116779999997</v>
      </c>
      <c r="BO22" s="1"/>
      <c r="BP22" s="108" t="s">
        <v>84</v>
      </c>
      <c r="BQ22" s="109">
        <f t="shared" si="30"/>
        <v>2289.8534100000034</v>
      </c>
      <c r="BR22" s="109">
        <f t="shared" si="20"/>
        <v>-12461.553039999999</v>
      </c>
      <c r="BS22" s="49" t="str">
        <f t="shared" si="21"/>
        <v>n.a</v>
      </c>
      <c r="BT22" s="109">
        <f t="shared" si="31"/>
        <v>-42938.940770000001</v>
      </c>
      <c r="BU22" s="109">
        <f t="shared" si="22"/>
        <v>38290.91156</v>
      </c>
      <c r="BV22" s="49" t="str">
        <f t="shared" si="23"/>
        <v>n.a</v>
      </c>
      <c r="BW22" s="2"/>
      <c r="BX22" s="109">
        <f t="shared" si="24"/>
        <v>14751.406450000002</v>
      </c>
      <c r="BY22" s="109">
        <f t="shared" si="32"/>
        <v>-81229.852329999994</v>
      </c>
      <c r="BZ22" s="1"/>
      <c r="CA22" s="1"/>
      <c r="CB22" s="1"/>
      <c r="CC22" s="1"/>
      <c r="CD22" s="1"/>
      <c r="CE22" s="1"/>
      <c r="CF22" s="1"/>
      <c r="CG22" s="1"/>
    </row>
    <row r="23" spans="2:85" ht="15" customHeight="1" thickBot="1" x14ac:dyDescent="0.4">
      <c r="B23" s="115" t="s">
        <v>70</v>
      </c>
      <c r="C23" s="116">
        <f>N26/1000</f>
        <v>58.180024621499925</v>
      </c>
      <c r="D23" s="116">
        <f>O26/1000</f>
        <v>23.57957094330002</v>
      </c>
      <c r="E23" s="117">
        <f t="shared" ref="E23:E29" si="38">IF(OR(AND(D23&gt;0,C23&lt;0),AND(D23&lt;0,C23&gt;0)),"n.a",IFERROR(C23/D23-1,"N.A."))</f>
        <v>1.4673911481002326</v>
      </c>
      <c r="F23" s="116">
        <f>Q26/1000</f>
        <v>170.88216962699991</v>
      </c>
      <c r="G23" s="116">
        <f>R26/1000</f>
        <v>117.78224397930001</v>
      </c>
      <c r="H23" s="117">
        <f t="shared" ref="H23:H29" si="39">IF(OR(AND(G23&gt;0,F23&lt;0),AND(G23&lt;0,F23&gt;0)),"n.a",IFERROR(F23/G23-1,"N.A."))</f>
        <v>0.45083132952562965</v>
      </c>
      <c r="I23" s="66"/>
      <c r="J23" s="116">
        <f t="shared" ref="J23:J29" si="40">IFERROR(C23-D23,"N.A")</f>
        <v>34.600453678199905</v>
      </c>
      <c r="K23" s="116">
        <f t="shared" ref="K23:K29" si="41">IFERROR(F23-G23,"N.A")</f>
        <v>53.099925647699905</v>
      </c>
      <c r="L23" s="1"/>
      <c r="M23" s="118" t="s">
        <v>85</v>
      </c>
      <c r="N23" s="119">
        <v>114078.47964999986</v>
      </c>
      <c r="O23" s="119">
        <v>46234.452830000038</v>
      </c>
      <c r="P23" s="120">
        <f t="shared" si="5"/>
        <v>1.4673911481002331</v>
      </c>
      <c r="Q23" s="119">
        <v>335063.07769999979</v>
      </c>
      <c r="R23" s="119">
        <v>230945.57643000002</v>
      </c>
      <c r="S23" s="120">
        <f t="shared" si="6"/>
        <v>0.45083132952562943</v>
      </c>
      <c r="U23" s="121">
        <f t="shared" si="7"/>
        <v>67844.026819999825</v>
      </c>
      <c r="V23" s="121">
        <f t="shared" si="25"/>
        <v>104117.50126999978</v>
      </c>
      <c r="W23" s="1"/>
      <c r="X23" s="118" t="s">
        <v>85</v>
      </c>
      <c r="Y23" s="119">
        <v>27510.574429999997</v>
      </c>
      <c r="Z23" s="119">
        <v>21088.159659999998</v>
      </c>
      <c r="AA23" s="120">
        <f t="shared" si="8"/>
        <v>0.30455074665344228</v>
      </c>
      <c r="AB23" s="119">
        <v>76674.091220000002</v>
      </c>
      <c r="AC23" s="119">
        <v>62699.873609999995</v>
      </c>
      <c r="AD23" s="120">
        <f t="shared" si="9"/>
        <v>0.22287473331957819</v>
      </c>
      <c r="AF23" s="121">
        <f t="shared" si="10"/>
        <v>6422.4147699999994</v>
      </c>
      <c r="AG23" s="121">
        <f t="shared" si="26"/>
        <v>13974.217610000007</v>
      </c>
      <c r="AH23" s="1"/>
      <c r="AI23" s="118" t="s">
        <v>85</v>
      </c>
      <c r="AJ23" s="119">
        <v>18912.435130000002</v>
      </c>
      <c r="AK23" s="119">
        <v>14068.569740000001</v>
      </c>
      <c r="AL23" s="120">
        <f t="shared" si="11"/>
        <v>0.34430403939554988</v>
      </c>
      <c r="AM23" s="119">
        <v>71628</v>
      </c>
      <c r="AN23" s="119">
        <v>30618.638860000003</v>
      </c>
      <c r="AO23" s="120">
        <f t="shared" si="12"/>
        <v>1.3393593793476684</v>
      </c>
      <c r="AQ23" s="121">
        <f t="shared" si="13"/>
        <v>4843.8653900000008</v>
      </c>
      <c r="AR23" s="121">
        <f t="shared" si="27"/>
        <v>41009.361139999994</v>
      </c>
      <c r="AS23" s="1"/>
      <c r="AT23" s="118" t="s">
        <v>85</v>
      </c>
      <c r="AU23" s="119">
        <v>27866.209919999994</v>
      </c>
      <c r="AV23" s="119">
        <v>17488.779189999997</v>
      </c>
      <c r="AW23" s="120">
        <f t="shared" si="14"/>
        <v>0.59337650828902699</v>
      </c>
      <c r="AX23" s="119">
        <v>106526</v>
      </c>
      <c r="AY23" s="119">
        <v>22346.994599999998</v>
      </c>
      <c r="AZ23" s="120">
        <f t="shared" si="15"/>
        <v>3.7669049868567122</v>
      </c>
      <c r="BB23" s="121">
        <f t="shared" si="16"/>
        <v>10377.430729999996</v>
      </c>
      <c r="BC23" s="121">
        <f t="shared" si="28"/>
        <v>84179.005399999995</v>
      </c>
      <c r="BD23" s="1"/>
      <c r="BE23" s="118" t="s">
        <v>85</v>
      </c>
      <c r="BF23" s="119">
        <v>-12310.526100000041</v>
      </c>
      <c r="BG23" s="119">
        <v>-9663.958409999992</v>
      </c>
      <c r="BH23" s="120">
        <f t="shared" si="17"/>
        <v>0.27385959021320438</v>
      </c>
      <c r="BI23" s="119">
        <v>20350.665519999995</v>
      </c>
      <c r="BJ23" s="119">
        <v>-127698.24427</v>
      </c>
      <c r="BK23" s="120" t="str">
        <f t="shared" si="18"/>
        <v>n.a</v>
      </c>
      <c r="BM23" s="121">
        <f t="shared" si="19"/>
        <v>-2646.567690000049</v>
      </c>
      <c r="BN23" s="121">
        <f t="shared" si="29"/>
        <v>148048.90979000001</v>
      </c>
      <c r="BP23" s="118" t="s">
        <v>85</v>
      </c>
      <c r="BQ23" s="119">
        <f t="shared" si="30"/>
        <v>34468.118949999953</v>
      </c>
      <c r="BR23" s="119">
        <f t="shared" si="20"/>
        <v>21893.390520000008</v>
      </c>
      <c r="BS23" s="120">
        <f t="shared" si="21"/>
        <v>0.57436185676735185</v>
      </c>
      <c r="BT23" s="121">
        <f t="shared" si="31"/>
        <v>198504.66551999998</v>
      </c>
      <c r="BU23" s="121">
        <f t="shared" si="22"/>
        <v>-74732.610809999998</v>
      </c>
      <c r="BV23" s="120" t="str">
        <f t="shared" si="23"/>
        <v>n.a</v>
      </c>
      <c r="BX23" s="121">
        <f t="shared" si="24"/>
        <v>12574.728429999945</v>
      </c>
      <c r="BY23" s="121">
        <f t="shared" si="32"/>
        <v>273237.27632999996</v>
      </c>
    </row>
    <row r="24" spans="2:85" ht="15" customHeight="1" thickBot="1" x14ac:dyDescent="0.4">
      <c r="B24" s="122" t="s">
        <v>72</v>
      </c>
      <c r="C24" s="123">
        <f>Y26/1000</f>
        <v>14.030392959299999</v>
      </c>
      <c r="D24" s="123">
        <f>Z26/1000</f>
        <v>10.7549614266</v>
      </c>
      <c r="E24" s="124">
        <f t="shared" si="38"/>
        <v>0.30455074665344206</v>
      </c>
      <c r="F24" s="123">
        <f>AB26/1000</f>
        <v>39.103786522200004</v>
      </c>
      <c r="G24" s="123">
        <f>AC26/1000</f>
        <v>31.976935541100001</v>
      </c>
      <c r="H24" s="124">
        <f t="shared" si="39"/>
        <v>0.22287473331957819</v>
      </c>
      <c r="I24" s="66"/>
      <c r="J24" s="123">
        <f t="shared" si="40"/>
        <v>3.275431532699999</v>
      </c>
      <c r="K24" s="123">
        <f t="shared" si="41"/>
        <v>7.1268509811000023</v>
      </c>
      <c r="L24" s="1"/>
      <c r="M24" s="125"/>
      <c r="P24" s="126"/>
      <c r="Q24" s="127"/>
      <c r="R24" s="127"/>
      <c r="S24" s="126"/>
      <c r="U24" s="1"/>
      <c r="V24" s="1"/>
      <c r="W24" s="1"/>
      <c r="X24" s="125"/>
      <c r="AA24" s="126"/>
      <c r="AB24" s="127"/>
      <c r="AC24" s="127"/>
      <c r="AD24" s="126"/>
      <c r="AF24" s="1"/>
      <c r="AG24" s="1"/>
      <c r="AH24" s="1"/>
      <c r="AI24" s="125"/>
      <c r="AL24" s="126"/>
      <c r="AM24" s="127"/>
      <c r="AN24" s="127"/>
      <c r="AO24" s="126"/>
      <c r="AQ24" s="1"/>
      <c r="AR24" s="1"/>
      <c r="AS24" s="1"/>
      <c r="AT24" s="125"/>
      <c r="AW24" s="126"/>
      <c r="AX24" s="127"/>
      <c r="AY24" s="127"/>
      <c r="AZ24" s="126"/>
      <c r="BB24" s="1"/>
      <c r="BC24" s="1"/>
      <c r="BD24" s="1"/>
      <c r="BE24" s="125"/>
      <c r="BF24" s="128"/>
      <c r="BG24" s="128"/>
      <c r="BH24" s="126"/>
      <c r="BI24" s="128"/>
      <c r="BJ24" s="128"/>
      <c r="BK24" s="126"/>
      <c r="BM24" s="1"/>
      <c r="BN24" s="1"/>
      <c r="BP24" s="125"/>
      <c r="BS24" s="126"/>
      <c r="BT24" s="127"/>
      <c r="BU24" s="127"/>
      <c r="BV24" s="126"/>
      <c r="BX24" s="1"/>
      <c r="BY24" s="1"/>
    </row>
    <row r="25" spans="2:85" ht="15" customHeight="1" x14ac:dyDescent="0.35">
      <c r="B25" s="122" t="s">
        <v>86</v>
      </c>
      <c r="C25" s="123">
        <f>SUM(C26:C28)</f>
        <v>17.234059474999977</v>
      </c>
      <c r="D25" s="123">
        <f>SUM(D26:D28)</f>
        <v>10.946695260000004</v>
      </c>
      <c r="E25" s="124">
        <f t="shared" si="38"/>
        <v>0.57436185676735207</v>
      </c>
      <c r="F25" s="123">
        <f>SUM(F26:F28)</f>
        <v>99.252332760000002</v>
      </c>
      <c r="G25" s="123">
        <f>SUM(G26:G28)</f>
        <v>-37.366305404999991</v>
      </c>
      <c r="H25" s="124" t="str">
        <f t="shared" si="39"/>
        <v>n.a</v>
      </c>
      <c r="I25" s="66"/>
      <c r="J25" s="123">
        <f t="shared" si="40"/>
        <v>6.2873642149999736</v>
      </c>
      <c r="K25" s="123">
        <f t="shared" si="41"/>
        <v>136.61863816499999</v>
      </c>
      <c r="L25" s="1"/>
      <c r="M25" s="129" t="s">
        <v>87</v>
      </c>
      <c r="N25" s="130">
        <f>N17*51%</f>
        <v>64615.420091399923</v>
      </c>
      <c r="O25" s="130">
        <f>O17*51%</f>
        <v>48317.597186399995</v>
      </c>
      <c r="P25" s="131">
        <f>IFERROR(N25/O25-1,"N.A.")</f>
        <v>0.33730615456985702</v>
      </c>
      <c r="Q25" s="130">
        <f>Q17*51%</f>
        <v>291175.40219669987</v>
      </c>
      <c r="R25" s="130">
        <f>R17*51%</f>
        <v>249762.48821039998</v>
      </c>
      <c r="S25" s="131">
        <f>IFERROR(Q25/R25-1,"N.A.")</f>
        <v>0.1658091824878587</v>
      </c>
      <c r="U25" s="132">
        <f>N25-O25</f>
        <v>16297.822904999928</v>
      </c>
      <c r="V25" s="132">
        <f t="shared" si="25"/>
        <v>41412.913986299885</v>
      </c>
      <c r="W25" s="1"/>
      <c r="X25" s="129" t="s">
        <v>87</v>
      </c>
      <c r="Y25" s="130">
        <f>Y17*51%</f>
        <v>17969.772877800002</v>
      </c>
      <c r="Z25" s="130">
        <f>Z17*51%</f>
        <v>14900.284164600002</v>
      </c>
      <c r="AA25" s="131">
        <f>IFERROR(Y25/Z25-1,"N.A.")</f>
        <v>0.20600202514878685</v>
      </c>
      <c r="AB25" s="130">
        <f>AB17*51%</f>
        <v>55707.741813000001</v>
      </c>
      <c r="AC25" s="130">
        <f>AC17*51%</f>
        <v>49095.925052099999</v>
      </c>
      <c r="AD25" s="131">
        <f>IFERROR(AB25/AC25-1,"N.A.")</f>
        <v>0.13467139592305521</v>
      </c>
      <c r="AF25" s="132">
        <f>Y25-Z25</f>
        <v>3069.4887132000003</v>
      </c>
      <c r="AG25" s="132">
        <f t="shared" ref="AG25:AG26" si="42">AB25-AC25</f>
        <v>6611.8167609000011</v>
      </c>
      <c r="AH25" s="1"/>
      <c r="AI25" s="129" t="s">
        <v>88</v>
      </c>
      <c r="AJ25" s="130">
        <f>AJ17*50%</f>
        <v>11538.072069999998</v>
      </c>
      <c r="AK25" s="130">
        <f>AK17*50%</f>
        <v>11225.544844999999</v>
      </c>
      <c r="AL25" s="131">
        <f>IFERROR(AJ25/AK25-1,"N.A.")</f>
        <v>2.784071769480323E-2</v>
      </c>
      <c r="AM25" s="130">
        <f>AM17*50%</f>
        <v>45917.5</v>
      </c>
      <c r="AN25" s="130">
        <f>AN17*50%</f>
        <v>23543.695234999999</v>
      </c>
      <c r="AO25" s="131">
        <f>IFERROR(AM25/AN25-1,"N.A.")</f>
        <v>0.95030981932433267</v>
      </c>
      <c r="AQ25" s="132">
        <f>AJ25-AK25</f>
        <v>312.52722499999982</v>
      </c>
      <c r="AR25" s="132">
        <f t="shared" ref="AR25:AR26" si="43">AM25-AN25</f>
        <v>22373.804765000001</v>
      </c>
      <c r="AS25" s="1"/>
      <c r="AT25" s="129" t="s">
        <v>88</v>
      </c>
      <c r="AU25" s="130">
        <f>AU17*50%</f>
        <v>17691.216799999998</v>
      </c>
      <c r="AV25" s="130">
        <f>AV17*50%</f>
        <v>15318.309669999999</v>
      </c>
      <c r="AW25" s="131">
        <f>IFERROR(AU25/AV25-1,"N.A.")</f>
        <v>0.15490659094372528</v>
      </c>
      <c r="AX25" s="130">
        <f>AX17*50%</f>
        <v>68556.5</v>
      </c>
      <c r="AY25" s="130">
        <f>AY17*50%</f>
        <v>18881.08022</v>
      </c>
      <c r="AZ25" s="131">
        <f>IFERROR(AX25/AY25-1,"N.A.")</f>
        <v>2.6309628051567064</v>
      </c>
      <c r="BB25" s="132">
        <f>AU25-AV25</f>
        <v>2372.9071299999996</v>
      </c>
      <c r="BC25" s="132">
        <f t="shared" ref="BC25:BC26" si="44">AX25-AY25</f>
        <v>49675.419779999997</v>
      </c>
      <c r="BD25" s="1"/>
      <c r="BE25" s="129" t="s">
        <v>88</v>
      </c>
      <c r="BF25" s="130">
        <f>BF17*50%</f>
        <v>17145.995759999991</v>
      </c>
      <c r="BG25" s="130">
        <f>BG17*50%</f>
        <v>18624.074189999999</v>
      </c>
      <c r="BH25" s="131">
        <f>IFERROR(BF25/BG25-1,"N.A.")</f>
        <v>-7.9363860717095225E-2</v>
      </c>
      <c r="BI25" s="130">
        <f>BI17*50%</f>
        <v>130476.54390999999</v>
      </c>
      <c r="BJ25" s="130">
        <f>BJ17*50%</f>
        <v>16494.072160000003</v>
      </c>
      <c r="BK25" s="131">
        <f>IFERROR(BI25/BJ25-1,"N.A.")</f>
        <v>6.9105112821332515</v>
      </c>
      <c r="BM25" s="132">
        <f>BF25-BG25</f>
        <v>-1478.0784300000087</v>
      </c>
      <c r="BN25" s="132">
        <f t="shared" ref="BN25:BN26" si="45">BI25-BJ25</f>
        <v>113982.47175</v>
      </c>
      <c r="BP25" s="129" t="s">
        <v>88</v>
      </c>
      <c r="BQ25" s="130">
        <f>BQ17*50%</f>
        <v>46375.284629999987</v>
      </c>
      <c r="BR25" s="130">
        <f>BR17*50%</f>
        <v>45167.928704999998</v>
      </c>
      <c r="BS25" s="131">
        <f>IFERROR(BQ25/BR25-1,"N.A.")</f>
        <v>2.6730380595609171E-2</v>
      </c>
      <c r="BT25" s="130">
        <f>BT17*50%</f>
        <v>244950.54391000001</v>
      </c>
      <c r="BU25" s="130">
        <f>BU17*50%</f>
        <v>58918.847614999999</v>
      </c>
      <c r="BV25" s="131">
        <f>IFERROR(BT25/BU25-1,"N.A.")</f>
        <v>3.1574225197106314</v>
      </c>
      <c r="BX25" s="132">
        <f>BQ25-BR25</f>
        <v>1207.3559249999889</v>
      </c>
      <c r="BY25" s="132">
        <f t="shared" ref="BY25:BY26" si="46">BT25-BU25</f>
        <v>186031.696295</v>
      </c>
    </row>
    <row r="26" spans="2:85" ht="15" customHeight="1" x14ac:dyDescent="0.35">
      <c r="B26" s="133" t="s">
        <v>89</v>
      </c>
      <c r="C26" s="134">
        <f>AJ26/1000</f>
        <v>9.4562175650000011</v>
      </c>
      <c r="D26" s="134">
        <f>AK26/1000</f>
        <v>7.0342848700000005</v>
      </c>
      <c r="E26" s="135">
        <f t="shared" si="38"/>
        <v>0.34430403939554988</v>
      </c>
      <c r="F26" s="134">
        <f>AM26/1000</f>
        <v>35.814</v>
      </c>
      <c r="G26" s="134">
        <f>AN26/1000</f>
        <v>15.309319430000002</v>
      </c>
      <c r="H26" s="135">
        <f t="shared" si="39"/>
        <v>1.3393593793476679</v>
      </c>
      <c r="I26" s="66"/>
      <c r="J26" s="134">
        <f t="shared" si="40"/>
        <v>2.4219326950000006</v>
      </c>
      <c r="K26" s="134">
        <f t="shared" si="41"/>
        <v>20.504680569999998</v>
      </c>
      <c r="L26" s="1"/>
      <c r="M26" s="136" t="s">
        <v>90</v>
      </c>
      <c r="N26" s="137">
        <f>N23*51%</f>
        <v>58180.024621499928</v>
      </c>
      <c r="O26" s="137">
        <f>O23*51%</f>
        <v>23579.570943300019</v>
      </c>
      <c r="P26" s="138">
        <f>IFERROR(N26/O26-1,"N.A.")</f>
        <v>1.4673911481002331</v>
      </c>
      <c r="Q26" s="137">
        <f>Q23*51%</f>
        <v>170882.16962699991</v>
      </c>
      <c r="R26" s="137">
        <f>R23*51%</f>
        <v>117782.24397930001</v>
      </c>
      <c r="S26" s="138">
        <f>IFERROR(Q26/R26-1,"N.A.")</f>
        <v>0.45083132952562965</v>
      </c>
      <c r="U26" s="139">
        <f>N26-O26</f>
        <v>34600.453678199905</v>
      </c>
      <c r="V26" s="139">
        <f t="shared" si="25"/>
        <v>53099.9256476999</v>
      </c>
      <c r="W26" s="1"/>
      <c r="X26" s="136" t="s">
        <v>91</v>
      </c>
      <c r="Y26" s="137">
        <f>Y23*51%</f>
        <v>14030.392959299999</v>
      </c>
      <c r="Z26" s="137">
        <f>Z23*51%</f>
        <v>10754.961426599999</v>
      </c>
      <c r="AA26" s="138">
        <f>IFERROR(Y26/Z26-1,"N.A.")</f>
        <v>0.30455074665344228</v>
      </c>
      <c r="AB26" s="137">
        <f>AB23*51%</f>
        <v>39103.786522200004</v>
      </c>
      <c r="AC26" s="137">
        <f>AC23*51%</f>
        <v>31976.9355411</v>
      </c>
      <c r="AD26" s="138">
        <f>IFERROR(AB26/AC26-1,"N.A.")</f>
        <v>0.22287473331957819</v>
      </c>
      <c r="AF26" s="139">
        <f>Y26-Z26</f>
        <v>3275.4315327000004</v>
      </c>
      <c r="AG26" s="139">
        <f t="shared" si="42"/>
        <v>7126.850981100004</v>
      </c>
      <c r="AH26" s="1"/>
      <c r="AI26" s="136" t="s">
        <v>92</v>
      </c>
      <c r="AJ26" s="137">
        <f>AJ23*50%</f>
        <v>9456.2175650000008</v>
      </c>
      <c r="AK26" s="137">
        <f>AK23*50%</f>
        <v>7034.2848700000004</v>
      </c>
      <c r="AL26" s="138">
        <f>IFERROR(AJ26/AK26-1,"N.A.")</f>
        <v>0.34430403939554988</v>
      </c>
      <c r="AM26" s="137">
        <f>AM23*50%</f>
        <v>35814</v>
      </c>
      <c r="AN26" s="137">
        <f>AN23*50%</f>
        <v>15309.319430000001</v>
      </c>
      <c r="AO26" s="138">
        <f>IFERROR(AM26/AN26-1,"N.A.")</f>
        <v>1.3393593793476684</v>
      </c>
      <c r="AQ26" s="139">
        <f>AJ26-AK26</f>
        <v>2421.9326950000004</v>
      </c>
      <c r="AR26" s="139">
        <f t="shared" si="43"/>
        <v>20504.680569999997</v>
      </c>
      <c r="AS26" s="1"/>
      <c r="AT26" s="136" t="s">
        <v>92</v>
      </c>
      <c r="AU26" s="137">
        <f>AU23*50%</f>
        <v>13933.104959999997</v>
      </c>
      <c r="AV26" s="137">
        <f>AV23*50%</f>
        <v>8744.3895949999987</v>
      </c>
      <c r="AW26" s="138">
        <f>IFERROR(AU26/AV26-1,"N.A.")</f>
        <v>0.59337650828902699</v>
      </c>
      <c r="AX26" s="137">
        <f>AX23*50%</f>
        <v>53263</v>
      </c>
      <c r="AY26" s="137">
        <f>AY23*50%</f>
        <v>11173.497299999999</v>
      </c>
      <c r="AZ26" s="138">
        <f>IFERROR(AX26/AY26-1,"N.A.")</f>
        <v>3.7669049868567122</v>
      </c>
      <c r="BB26" s="139">
        <f>AU26-AV26</f>
        <v>5188.7153649999982</v>
      </c>
      <c r="BC26" s="139">
        <f t="shared" si="44"/>
        <v>42089.502699999997</v>
      </c>
      <c r="BD26" s="1"/>
      <c r="BE26" s="136" t="s">
        <v>92</v>
      </c>
      <c r="BF26" s="137">
        <f>BF23*50%</f>
        <v>-6155.2630500000205</v>
      </c>
      <c r="BG26" s="137">
        <f>BG23*50%</f>
        <v>-4831.979204999996</v>
      </c>
      <c r="BH26" s="138">
        <f>IFERROR(BF26/BG26-1,"N.A.")</f>
        <v>0.27385959021320438</v>
      </c>
      <c r="BI26" s="137">
        <f>BI23*50%</f>
        <v>10175.332759999998</v>
      </c>
      <c r="BJ26" s="137">
        <f>BJ23*50%</f>
        <v>-63849.122134999998</v>
      </c>
      <c r="BK26" s="138">
        <f>IFERROR(BI26/BJ26-1,"N.A.")</f>
        <v>-1.1593652726890384</v>
      </c>
      <c r="BM26" s="139">
        <f>BF26-BG26</f>
        <v>-1323.2838450000245</v>
      </c>
      <c r="BN26" s="139">
        <f t="shared" si="45"/>
        <v>74024.454895000003</v>
      </c>
      <c r="BP26" s="136" t="s">
        <v>92</v>
      </c>
      <c r="BQ26" s="137">
        <f>BQ23*50%</f>
        <v>17234.059474999976</v>
      </c>
      <c r="BR26" s="137">
        <f>BR23*50%</f>
        <v>10946.695260000004</v>
      </c>
      <c r="BS26" s="138">
        <f>IFERROR(BQ26/BR26-1,"N.A.")</f>
        <v>0.57436185676735185</v>
      </c>
      <c r="BT26" s="137">
        <f>BT23*50%</f>
        <v>99252.33275999999</v>
      </c>
      <c r="BU26" s="137">
        <f>BU23*50%</f>
        <v>-37366.305404999999</v>
      </c>
      <c r="BV26" s="138">
        <f>IFERROR(BT26/BU26-1,"N.A.")</f>
        <v>-3.656198724606019</v>
      </c>
      <c r="BX26" s="139">
        <f>BQ26-BR26</f>
        <v>6287.3642149999723</v>
      </c>
      <c r="BY26" s="139">
        <f t="shared" si="46"/>
        <v>136618.63816499998</v>
      </c>
    </row>
    <row r="27" spans="2:85" ht="15" customHeight="1" x14ac:dyDescent="0.35">
      <c r="B27" s="133" t="s">
        <v>93</v>
      </c>
      <c r="C27" s="134">
        <f>AU26/1000</f>
        <v>13.933104959999996</v>
      </c>
      <c r="D27" s="134">
        <f>AV26/1000</f>
        <v>8.7443895949999995</v>
      </c>
      <c r="E27" s="135">
        <f t="shared" si="38"/>
        <v>0.59337650828902677</v>
      </c>
      <c r="F27" s="134">
        <f>AX26/1000</f>
        <v>53.262999999999998</v>
      </c>
      <c r="G27" s="134">
        <f>AY26/1000</f>
        <v>11.173497299999999</v>
      </c>
      <c r="H27" s="135">
        <f t="shared" si="39"/>
        <v>3.7669049868567113</v>
      </c>
      <c r="I27" s="66"/>
      <c r="J27" s="134">
        <f t="shared" si="40"/>
        <v>5.1887153649999966</v>
      </c>
      <c r="K27" s="134">
        <f t="shared" si="41"/>
        <v>42.089502699999997</v>
      </c>
      <c r="L27" s="1"/>
      <c r="M27" s="140" t="s">
        <v>94</v>
      </c>
      <c r="N27" s="141">
        <f>N23-N22-N19-N16-N17</f>
        <v>0</v>
      </c>
      <c r="O27" s="141">
        <f>O23-O22-O19-O16-O17</f>
        <v>0</v>
      </c>
      <c r="P27" s="141"/>
      <c r="Q27" s="141">
        <f>Q23-Q22-Q19-Q16-Q17</f>
        <v>0</v>
      </c>
      <c r="R27" s="141">
        <f>R23-R22-R19-R16-R17</f>
        <v>0</v>
      </c>
      <c r="S27" s="142"/>
      <c r="W27" s="1"/>
      <c r="X27" s="140" t="s">
        <v>94</v>
      </c>
      <c r="Y27" s="141">
        <f>Y23-Y22-Y19-Y16-Y17</f>
        <v>0</v>
      </c>
      <c r="Z27" s="141">
        <f>Z23-Z22-Z19-Z16-Z17</f>
        <v>0</v>
      </c>
      <c r="AA27" s="141"/>
      <c r="AB27" s="141">
        <f>AB23-AB22-AB19-AB16-AB17</f>
        <v>0</v>
      </c>
      <c r="AC27" s="141">
        <f>AC23-AC22-AC19-AC16-AC17</f>
        <v>0</v>
      </c>
      <c r="AD27" s="142"/>
      <c r="AH27" s="1"/>
      <c r="AI27" s="140" t="s">
        <v>94</v>
      </c>
      <c r="AJ27" s="141">
        <f>AJ23-AJ22-AJ19-AJ16-AJ17</f>
        <v>0</v>
      </c>
      <c r="AK27" s="141">
        <f>AK23-AK22-AK19-AK16-AK17</f>
        <v>0</v>
      </c>
      <c r="AL27" s="141"/>
      <c r="AM27" s="141">
        <f>AM23-AM22-AM19-AM16-AM17</f>
        <v>0</v>
      </c>
      <c r="AN27" s="141">
        <f>AN23-AN22-AN19-AN16-AN17</f>
        <v>0</v>
      </c>
      <c r="AO27" s="142"/>
      <c r="AS27" s="1"/>
      <c r="AT27" s="140" t="s">
        <v>94</v>
      </c>
      <c r="AU27" s="141">
        <f>AU23-AU22-AU19-AU16-AU17</f>
        <v>0</v>
      </c>
      <c r="AV27" s="141">
        <f>AV23-AV22-AV19-AV16-AV17</f>
        <v>0</v>
      </c>
      <c r="AW27" s="141"/>
      <c r="AX27" s="141">
        <f>AX23-AX22-AX19-AX16-AX17</f>
        <v>0</v>
      </c>
      <c r="AY27" s="141">
        <f>AY23-AY22-AY19-AY16-AY17</f>
        <v>0</v>
      </c>
      <c r="AZ27" s="142"/>
      <c r="BD27" s="1"/>
      <c r="BE27" s="140" t="s">
        <v>94</v>
      </c>
      <c r="BF27" s="141">
        <f>BF23-BF22-BF19-BF16-BF17</f>
        <v>0</v>
      </c>
      <c r="BG27" s="141">
        <f>BG23-BG22-BG19-BG16-BG17</f>
        <v>0</v>
      </c>
      <c r="BH27" s="141"/>
      <c r="BI27" s="141">
        <f>BI23-BI22-BI19-BI16-BI17</f>
        <v>0</v>
      </c>
      <c r="BJ27" s="141">
        <f>BJ23-BJ22-BJ19-BJ16-BJ17</f>
        <v>0</v>
      </c>
      <c r="BK27" s="142"/>
      <c r="BP27" s="140" t="s">
        <v>94</v>
      </c>
      <c r="BQ27" s="141">
        <f>BQ23-BQ22-BQ19-BQ16-BQ17</f>
        <v>0</v>
      </c>
      <c r="BR27" s="141">
        <f>BR23-BR22-BR19-BR16-BR17</f>
        <v>0</v>
      </c>
      <c r="BS27" s="141"/>
      <c r="BT27" s="141">
        <f>BT23-BT22-BT19-BT16-BT17</f>
        <v>0</v>
      </c>
      <c r="BU27" s="141">
        <f>BU23-BU22-BU19-BU16-BU17</f>
        <v>0</v>
      </c>
      <c r="BV27" s="142"/>
    </row>
    <row r="28" spans="2:85" ht="15" customHeight="1" thickBot="1" x14ac:dyDescent="0.4">
      <c r="B28" s="143" t="s">
        <v>95</v>
      </c>
      <c r="C28" s="144">
        <f>BF26/1000</f>
        <v>-6.1552630500000207</v>
      </c>
      <c r="D28" s="144">
        <f>BG26/1000</f>
        <v>-4.8319792049999961</v>
      </c>
      <c r="E28" s="145">
        <f t="shared" si="38"/>
        <v>0.27385959021320461</v>
      </c>
      <c r="F28" s="144">
        <f>BI26/1000</f>
        <v>10.175332759999998</v>
      </c>
      <c r="G28" s="144">
        <f>BJ26/1000</f>
        <v>-63.849122134999995</v>
      </c>
      <c r="H28" s="145" t="str">
        <f t="shared" si="39"/>
        <v>n.a</v>
      </c>
      <c r="I28" s="66"/>
      <c r="J28" s="144">
        <f t="shared" si="40"/>
        <v>-1.3232838450000246</v>
      </c>
      <c r="K28" s="144">
        <f t="shared" si="41"/>
        <v>74.024454894999991</v>
      </c>
      <c r="L28" s="1"/>
      <c r="M28" s="140" t="s">
        <v>96</v>
      </c>
      <c r="N28" s="141">
        <v>0</v>
      </c>
      <c r="O28" s="141">
        <v>0</v>
      </c>
      <c r="P28" s="141"/>
      <c r="Q28" s="141">
        <v>0</v>
      </c>
      <c r="R28" s="141">
        <v>0</v>
      </c>
      <c r="S28" s="142"/>
      <c r="W28" s="1"/>
      <c r="X28" s="140" t="s">
        <v>96</v>
      </c>
      <c r="Y28" s="141">
        <v>0</v>
      </c>
      <c r="Z28" s="141">
        <v>0</v>
      </c>
      <c r="AA28" s="141"/>
      <c r="AB28" s="141">
        <v>0</v>
      </c>
      <c r="AC28" s="141">
        <v>0</v>
      </c>
      <c r="AD28" s="142"/>
      <c r="AH28" s="1"/>
      <c r="AI28" s="140" t="s">
        <v>96</v>
      </c>
      <c r="AJ28" s="141">
        <v>0</v>
      </c>
      <c r="AK28" s="141">
        <v>0</v>
      </c>
      <c r="AL28" s="141"/>
      <c r="AM28" s="141">
        <v>0</v>
      </c>
      <c r="AN28" s="141">
        <v>0</v>
      </c>
      <c r="AO28" s="142"/>
      <c r="AS28" s="1"/>
      <c r="AT28" s="140" t="s">
        <v>96</v>
      </c>
      <c r="AU28" s="141">
        <v>0</v>
      </c>
      <c r="AV28" s="141">
        <v>0</v>
      </c>
      <c r="AW28" s="141"/>
      <c r="AX28" s="141">
        <v>0</v>
      </c>
      <c r="AY28" s="141">
        <v>0</v>
      </c>
      <c r="AZ28" s="142"/>
      <c r="BD28" s="1"/>
      <c r="BE28" s="140" t="s">
        <v>96</v>
      </c>
      <c r="BF28" s="141">
        <v>0</v>
      </c>
      <c r="BG28" s="141">
        <v>0</v>
      </c>
      <c r="BH28" s="141"/>
      <c r="BI28" s="141">
        <v>0</v>
      </c>
      <c r="BJ28" s="141">
        <v>0</v>
      </c>
      <c r="BK28" s="142"/>
      <c r="BP28" s="140"/>
      <c r="BQ28" s="141"/>
      <c r="BR28" s="141"/>
      <c r="BS28" s="141"/>
      <c r="BT28" s="141"/>
      <c r="BU28" s="141"/>
      <c r="BV28" s="142"/>
    </row>
    <row r="29" spans="2:85" ht="15" customHeight="1" thickBot="1" x14ac:dyDescent="0.4">
      <c r="B29" s="86" t="s">
        <v>49</v>
      </c>
      <c r="C29" s="87">
        <f>SUM(C23:C25)</f>
        <v>89.444477055799908</v>
      </c>
      <c r="D29" s="87">
        <f>SUM(D23:D25)</f>
        <v>45.281227629900023</v>
      </c>
      <c r="E29" s="114">
        <f t="shared" si="38"/>
        <v>0.9753103380248922</v>
      </c>
      <c r="F29" s="87">
        <f>SUM(F23:F25)</f>
        <v>309.23828890919992</v>
      </c>
      <c r="G29" s="87">
        <f>SUM(G23:G25)</f>
        <v>112.39287411540002</v>
      </c>
      <c r="H29" s="114">
        <f t="shared" si="39"/>
        <v>1.751404760694061</v>
      </c>
      <c r="I29" s="66"/>
      <c r="J29" s="87">
        <f t="shared" si="40"/>
        <v>44.163249425899885</v>
      </c>
      <c r="K29" s="87">
        <f t="shared" si="41"/>
        <v>196.8454147937999</v>
      </c>
      <c r="L29" s="1"/>
      <c r="M29" s="1"/>
      <c r="N29" s="80"/>
      <c r="O29" s="80"/>
      <c r="P29" s="80"/>
      <c r="Q29" s="80"/>
      <c r="R29" s="80">
        <f>R22/R21</f>
        <v>-3.2619200623374882E-3</v>
      </c>
      <c r="S29" s="1"/>
      <c r="T29" s="1"/>
      <c r="U29" s="1"/>
      <c r="V29" s="1"/>
      <c r="W29" s="1"/>
      <c r="X29" s="1"/>
      <c r="Y29" s="1"/>
      <c r="Z29" s="1"/>
      <c r="AB29" s="80"/>
      <c r="AC29" s="80"/>
      <c r="AD29" s="1"/>
      <c r="AE29" s="1"/>
      <c r="AF29" s="1"/>
      <c r="AG29" s="1"/>
      <c r="AH29" s="1"/>
      <c r="AI29" s="1"/>
      <c r="AJ29" s="1"/>
      <c r="AK29" s="1"/>
      <c r="AM29" s="80"/>
      <c r="AN29" s="80"/>
      <c r="AO29" s="1"/>
      <c r="AP29" s="1"/>
      <c r="AQ29" s="1"/>
      <c r="AR29" s="1"/>
      <c r="AS29" s="1"/>
      <c r="AT29" s="1"/>
      <c r="AU29" s="1"/>
      <c r="AV29" s="1"/>
      <c r="AX29" s="80"/>
      <c r="AY29" s="80"/>
      <c r="AZ29" s="1"/>
      <c r="BA29" s="1"/>
      <c r="BB29" s="1"/>
      <c r="BC29" s="1"/>
      <c r="BD29" s="1"/>
      <c r="BE29" s="1"/>
      <c r="BF29" s="1"/>
      <c r="BG29" s="1"/>
      <c r="BI29" s="80"/>
      <c r="BJ29" s="80"/>
      <c r="BK29" s="1"/>
      <c r="BL29" s="1"/>
      <c r="BM29" s="1"/>
      <c r="BN29" s="1"/>
      <c r="BP29" s="1"/>
      <c r="BQ29" s="1"/>
      <c r="BR29" s="1"/>
      <c r="BU29" s="1"/>
      <c r="BV29" s="1"/>
      <c r="BW29" s="1"/>
      <c r="BX29" s="1"/>
      <c r="BY29" s="1"/>
    </row>
    <row r="30" spans="2:85" ht="15" customHeight="1" x14ac:dyDescent="0.35">
      <c r="L30" s="1"/>
      <c r="M30" s="146" t="s">
        <v>97</v>
      </c>
      <c r="N30" s="147">
        <f>N14*51%</f>
        <v>77711.186428499932</v>
      </c>
      <c r="O30" s="147">
        <f>O14*51%</f>
        <v>61321.887735600001</v>
      </c>
      <c r="P30" s="148">
        <f>IFERROR(N30/O30-1,"N.A.")</f>
        <v>0.26726670195746816</v>
      </c>
      <c r="Q30" s="147">
        <f>Q14*51%</f>
        <v>328695.69023909996</v>
      </c>
      <c r="R30" s="147">
        <f>R14*51%</f>
        <v>279718.31912399997</v>
      </c>
      <c r="S30" s="148">
        <f>IFERROR(Q30/R30-1,"N.A.")</f>
        <v>0.17509532900270353</v>
      </c>
      <c r="T30" s="1"/>
      <c r="U30" s="132">
        <f>N30-O30</f>
        <v>16389.298692899931</v>
      </c>
      <c r="V30" s="132">
        <f t="shared" ref="V30:V31" si="47">Q30-R30</f>
        <v>48977.371115099988</v>
      </c>
      <c r="W30" s="1"/>
      <c r="X30" s="146" t="s">
        <v>97</v>
      </c>
      <c r="Y30" s="147">
        <f>Y14*51%</f>
        <v>19774.820631000002</v>
      </c>
      <c r="Z30" s="147">
        <f>Z14*51%</f>
        <v>16791.356387100001</v>
      </c>
      <c r="AA30" s="148">
        <f>IFERROR(Y30/Z30-1,"N.A.")</f>
        <v>0.17767857313731095</v>
      </c>
      <c r="AB30" s="147">
        <f>AB14*51%</f>
        <v>62472.726450600007</v>
      </c>
      <c r="AC30" s="147">
        <f>AC14*51%</f>
        <v>57171.834757800003</v>
      </c>
      <c r="AD30" s="148">
        <f>IFERROR(AB30/AC30-1,"N.A.")</f>
        <v>9.2718586262911629E-2</v>
      </c>
      <c r="AE30" s="1"/>
      <c r="AF30" s="132">
        <f>Y30-Z30</f>
        <v>2983.4642439000017</v>
      </c>
      <c r="AG30" s="132">
        <f t="shared" ref="AG30:AG31" si="48">AB30-AC30</f>
        <v>5300.8916928000035</v>
      </c>
      <c r="AH30" s="1"/>
      <c r="AI30" s="146" t="s">
        <v>98</v>
      </c>
      <c r="AJ30" s="147">
        <f>AJ14*51%</f>
        <v>12468.610146899999</v>
      </c>
      <c r="AK30" s="147">
        <f>AK14*51%</f>
        <v>11993.1609486</v>
      </c>
      <c r="AL30" s="148">
        <f>IFERROR(AJ30/AK30-1,"N.A.")</f>
        <v>3.9643360106452974E-2</v>
      </c>
      <c r="AM30" s="147">
        <f>AM14*51%</f>
        <v>49106.879999999997</v>
      </c>
      <c r="AN30" s="147">
        <f>AN14*51%</f>
        <v>25770.767318099999</v>
      </c>
      <c r="AO30" s="148">
        <f>IFERROR(AM30/AN30-1,"N.A.")</f>
        <v>0.90552649806084617</v>
      </c>
      <c r="AP30" s="1"/>
      <c r="AQ30" s="132">
        <f>AJ30-AK30</f>
        <v>475.4491982999989</v>
      </c>
      <c r="AR30" s="132">
        <f t="shared" ref="AR30:AR31" si="49">AM30-AN30</f>
        <v>23336.112681899998</v>
      </c>
      <c r="AS30" s="1"/>
      <c r="AT30" s="146" t="s">
        <v>98</v>
      </c>
      <c r="AU30" s="147">
        <f>AU14*51%</f>
        <v>19272.894599099996</v>
      </c>
      <c r="AV30" s="147">
        <f>AV14*51%</f>
        <v>16548.633877199998</v>
      </c>
      <c r="AW30" s="148">
        <f>IFERROR(AU30/AV30-1,"N.A.")</f>
        <v>0.16462148731523807</v>
      </c>
      <c r="AX30" s="147">
        <f>AX14*51%</f>
        <v>73881.66</v>
      </c>
      <c r="AY30" s="147">
        <f>AY14*51%</f>
        <v>21430.634876999997</v>
      </c>
      <c r="AZ30" s="148">
        <f>IFERROR(AX30/AY30-1,"N.A.")</f>
        <v>2.4474788275774335</v>
      </c>
      <c r="BA30" s="1"/>
      <c r="BB30" s="132">
        <f>AU30-AV30</f>
        <v>2724.2607218999983</v>
      </c>
      <c r="BC30" s="132">
        <f t="shared" ref="BC30:BC31" si="50">AX30-AY30</f>
        <v>52451.025123000007</v>
      </c>
      <c r="BD30" s="1"/>
      <c r="BE30" s="146" t="s">
        <v>98</v>
      </c>
      <c r="BF30" s="147">
        <f>BF14*51%</f>
        <v>45534.250108499989</v>
      </c>
      <c r="BG30" s="147">
        <f>BG14*51%</f>
        <v>20062.841702999998</v>
      </c>
      <c r="BH30" s="148">
        <f>IFERROR(BF30/BG30-1,"N.A.")</f>
        <v>1.2695812877639985</v>
      </c>
      <c r="BI30" s="147">
        <f>BI14*51%</f>
        <v>168831.5137482</v>
      </c>
      <c r="BJ30" s="147">
        <f>BJ14*51%</f>
        <v>20062.841702999998</v>
      </c>
      <c r="BK30" s="148">
        <f>IFERROR(BI30/BJ30-1,"N.A.")</f>
        <v>7.4151346178918711</v>
      </c>
      <c r="BL30" s="1"/>
      <c r="BM30" s="132">
        <f>BF30-BG30</f>
        <v>25471.408405499991</v>
      </c>
      <c r="BN30" s="132">
        <f t="shared" ref="BN30:BN31" si="51">BI30-BJ30</f>
        <v>148768.67204520002</v>
      </c>
      <c r="BP30" s="146" t="s">
        <v>98</v>
      </c>
      <c r="BQ30" s="147">
        <f>BQ14*51%</f>
        <v>77275.754854499974</v>
      </c>
      <c r="BR30" s="147">
        <f>BR14*51%</f>
        <v>48604.636528799994</v>
      </c>
      <c r="BS30" s="148">
        <f>IFERROR(BQ30/BR30-1,"N.A.")</f>
        <v>0.5898844302376649</v>
      </c>
      <c r="BT30" s="147">
        <f>BT14*51%</f>
        <v>291820.05374819995</v>
      </c>
      <c r="BU30" s="147">
        <f>BU14*51%</f>
        <v>67264.243898099987</v>
      </c>
      <c r="BV30" s="148">
        <f>IFERROR(BT30/BU30-1,"N.A.")</f>
        <v>3.3384127559700856</v>
      </c>
      <c r="BW30" s="1"/>
      <c r="BX30" s="132">
        <f>BQ30-BR30</f>
        <v>28671.118325699979</v>
      </c>
      <c r="BY30" s="132">
        <f t="shared" ref="BY30:BY31" si="52">BT30-BU30</f>
        <v>224555.80985009996</v>
      </c>
    </row>
    <row r="31" spans="2:85" ht="15" customHeight="1" x14ac:dyDescent="0.35">
      <c r="B31" s="140" t="s">
        <v>99</v>
      </c>
      <c r="C31" s="141">
        <f>C29-'DRE Reg'!C32/1000</f>
        <v>-0.12752294420009491</v>
      </c>
      <c r="D31" s="141">
        <f>D29-'DRE Reg'!D32/1000</f>
        <v>4.0227629900023487E-2</v>
      </c>
      <c r="F31" s="141">
        <f>F29-'DRE Reg'!F32/1000</f>
        <v>1.2889091998999902E-3</v>
      </c>
      <c r="G31" s="141">
        <f>G29-'DRE Reg'!G32/1000</f>
        <v>3.9874115400024834E-2</v>
      </c>
      <c r="L31" s="1"/>
      <c r="M31" s="146" t="s">
        <v>100</v>
      </c>
      <c r="N31" s="147">
        <f>N15*51%</f>
        <v>-12873.044170800009</v>
      </c>
      <c r="O31" s="147">
        <f>O15*51%</f>
        <v>-8462.1537432000059</v>
      </c>
      <c r="P31" s="148">
        <f>IFERROR(N31/O31-1,"N.A.")</f>
        <v>0.52124914784779164</v>
      </c>
      <c r="Q31" s="147">
        <f>Q15*51%</f>
        <v>-37149.613616400013</v>
      </c>
      <c r="R31" s="147">
        <f>R15*51%</f>
        <v>-25265.3417682</v>
      </c>
      <c r="S31" s="148">
        <f>IFERROR(Q31/R31-1,"N.A.")</f>
        <v>0.47037843213180075</v>
      </c>
      <c r="T31" s="1"/>
      <c r="U31" s="132">
        <f>N31-O31</f>
        <v>-4410.890427600003</v>
      </c>
      <c r="V31" s="132">
        <f t="shared" si="47"/>
        <v>-11884.271848200013</v>
      </c>
      <c r="W31" s="1"/>
      <c r="X31" s="146" t="s">
        <v>100</v>
      </c>
      <c r="Y31" s="147">
        <f>Y15*51%</f>
        <v>-1805.0477532000002</v>
      </c>
      <c r="Z31" s="147">
        <f>Z15*51%</f>
        <v>-1724.7325503000013</v>
      </c>
      <c r="AA31" s="148">
        <f>IFERROR(Y31/Z31-1,"N.A.")</f>
        <v>4.6566757777041223E-2</v>
      </c>
      <c r="AB31" s="147">
        <f>AB15*51%</f>
        <v>-6764.9846375999996</v>
      </c>
      <c r="AC31" s="147">
        <f>AC15*51%</f>
        <v>-7121.9464538999991</v>
      </c>
      <c r="AD31" s="148">
        <f>IFERROR(AB31/AC31-1,"N.A.")</f>
        <v>-5.0121384457268214E-2</v>
      </c>
      <c r="AE31" s="1"/>
      <c r="AF31" s="132">
        <f>Y31-Z31</f>
        <v>-80.315202899998894</v>
      </c>
      <c r="AG31" s="132">
        <f t="shared" si="48"/>
        <v>356.96181629999955</v>
      </c>
      <c r="AH31" s="1"/>
      <c r="AI31" s="146" t="s">
        <v>101</v>
      </c>
      <c r="AJ31" s="147">
        <f>AJ15*51%</f>
        <v>-699.77663550000068</v>
      </c>
      <c r="AK31" s="147">
        <f>AK15*51%</f>
        <v>-543.10520670000028</v>
      </c>
      <c r="AL31" s="148">
        <f>IFERROR(AJ31/AK31-1,"N.A.")</f>
        <v>0.28847344283801424</v>
      </c>
      <c r="AM31" s="147">
        <f>AM15*51%</f>
        <v>-2271.0300000000002</v>
      </c>
      <c r="AN31" s="147">
        <f>AN15*51%</f>
        <v>-1756.1981784</v>
      </c>
      <c r="AO31" s="148">
        <f>IFERROR(AM31/AN31-1,"N.A.")</f>
        <v>0.293151324225289</v>
      </c>
      <c r="AP31" s="1"/>
      <c r="AQ31" s="132">
        <f>AJ31-AK31</f>
        <v>-156.6714288000004</v>
      </c>
      <c r="AR31" s="132">
        <f t="shared" si="49"/>
        <v>-514.83182160000024</v>
      </c>
      <c r="AS31" s="1"/>
      <c r="AT31" s="146" t="s">
        <v>101</v>
      </c>
      <c r="AU31" s="147">
        <f>AU15*51%</f>
        <v>-1227.8534631000009</v>
      </c>
      <c r="AV31" s="147">
        <f>AV15*51%</f>
        <v>-923.95801380000034</v>
      </c>
      <c r="AW31" s="148">
        <f>IFERROR(AU31/AV31-1,"N.A.")</f>
        <v>0.32890612426224553</v>
      </c>
      <c r="AX31" s="147">
        <f>AX15*51%</f>
        <v>-3954.03</v>
      </c>
      <c r="AY31" s="147">
        <f>AY15*51%</f>
        <v>-2171.9330525999999</v>
      </c>
      <c r="AZ31" s="148">
        <f>IFERROR(AX31/AY31-1,"N.A.")</f>
        <v>0.82051191461296158</v>
      </c>
      <c r="BA31" s="1"/>
      <c r="BB31" s="132">
        <f>AU31-AV31</f>
        <v>-303.89544930000056</v>
      </c>
      <c r="BC31" s="132">
        <f t="shared" si="50"/>
        <v>-1782.0969474000003</v>
      </c>
      <c r="BD31" s="1"/>
      <c r="BE31" s="146" t="s">
        <v>101</v>
      </c>
      <c r="BF31" s="147">
        <f>BF15*51%</f>
        <v>-2906.1283742999976</v>
      </c>
      <c r="BG31" s="147">
        <f>BG15*51%</f>
        <v>-1066.2860292</v>
      </c>
      <c r="BH31" s="148">
        <f>IFERROR(BF31/BG31-1,"N.A.")</f>
        <v>1.7254679276632481</v>
      </c>
      <c r="BI31" s="147">
        <f>BI15*51%</f>
        <v>-10607.158550999999</v>
      </c>
      <c r="BJ31" s="147">
        <f>BJ15*51%</f>
        <v>-3238.8880998000004</v>
      </c>
      <c r="BK31" s="148">
        <f>IFERROR(BI31/BJ31-1,"N.A.")</f>
        <v>2.274938257871578</v>
      </c>
      <c r="BL31" s="1"/>
      <c r="BM31" s="132">
        <f>BF31-BG31</f>
        <v>-1839.8423450999976</v>
      </c>
      <c r="BN31" s="132">
        <f t="shared" si="51"/>
        <v>-7368.2704511999982</v>
      </c>
      <c r="BP31" s="146" t="s">
        <v>101</v>
      </c>
      <c r="BQ31" s="147">
        <f>BQ15*51%</f>
        <v>-4833.7584728999991</v>
      </c>
      <c r="BR31" s="147">
        <f>BR15*51%</f>
        <v>-2533.3492497000007</v>
      </c>
      <c r="BS31" s="148">
        <f>IFERROR(BQ31/BR31-1,"N.A.")</f>
        <v>0.90805056723719124</v>
      </c>
      <c r="BT31" s="147">
        <f>BT15*51%</f>
        <v>-16832.218550999998</v>
      </c>
      <c r="BU31" s="147">
        <f>BU15*51%</f>
        <v>-7167.0193308000007</v>
      </c>
      <c r="BV31" s="148">
        <f>IFERROR(BT31/BU31-1,"N.A.")</f>
        <v>1.3485660878106134</v>
      </c>
      <c r="BW31" s="1"/>
      <c r="BX31" s="132">
        <f>BQ31-BR31</f>
        <v>-2300.4092231999985</v>
      </c>
      <c r="BY31" s="132">
        <f t="shared" si="52"/>
        <v>-9665.1992201999965</v>
      </c>
    </row>
    <row r="32" spans="2:85" ht="15" customHeight="1" thickBot="1" x14ac:dyDescent="0.4">
      <c r="L32" s="1"/>
      <c r="M32" s="1"/>
      <c r="N32" s="1"/>
      <c r="O32" s="1"/>
      <c r="R32" s="1"/>
      <c r="S32" s="1"/>
      <c r="T32" s="1"/>
      <c r="U32" s="1"/>
      <c r="V32" s="1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N32" s="1"/>
      <c r="AO32" s="1"/>
      <c r="AP32" s="1"/>
      <c r="AQ32" s="1"/>
      <c r="AR32" s="1"/>
      <c r="AS32" s="1"/>
      <c r="AT32" s="1"/>
      <c r="AU32" s="1"/>
      <c r="AV32" s="1"/>
      <c r="AY32" s="1"/>
      <c r="AZ32" s="1"/>
      <c r="BA32" s="1"/>
      <c r="BB32" s="1"/>
      <c r="BC32" s="1"/>
      <c r="BD32" s="1"/>
      <c r="BE32" s="1"/>
      <c r="BF32" s="1"/>
      <c r="BG32" s="1"/>
      <c r="BJ32" s="1"/>
      <c r="BK32" s="1"/>
      <c r="BL32" s="1"/>
      <c r="BM32" s="1"/>
      <c r="BN32" s="1"/>
      <c r="BP32" s="1"/>
      <c r="BQ32" s="1"/>
      <c r="BR32" s="1"/>
      <c r="BU32" s="1"/>
      <c r="BV32" s="1"/>
      <c r="BW32" s="1"/>
      <c r="BX32" s="1"/>
      <c r="BY32" s="1"/>
    </row>
    <row r="33" spans="2:77" ht="15" customHeight="1" thickBot="1" x14ac:dyDescent="0.4">
      <c r="B33" s="27" t="s">
        <v>102</v>
      </c>
      <c r="C33" s="407" t="s">
        <v>34</v>
      </c>
      <c r="D33" s="408"/>
      <c r="E33" s="408"/>
      <c r="F33" s="408"/>
      <c r="G33" s="408"/>
      <c r="H33" s="408"/>
      <c r="J33" s="413" t="s">
        <v>10</v>
      </c>
      <c r="K33" s="413" t="s">
        <v>11</v>
      </c>
      <c r="L33" s="1"/>
      <c r="M33" s="27" t="s">
        <v>102</v>
      </c>
      <c r="N33" s="417" t="s">
        <v>34</v>
      </c>
      <c r="O33" s="417"/>
      <c r="P33" s="417"/>
      <c r="R33" s="413" t="s">
        <v>10</v>
      </c>
      <c r="S33" s="1"/>
      <c r="W33" s="1"/>
      <c r="AA33" s="2"/>
      <c r="AB33" s="2"/>
      <c r="AL33" s="2"/>
      <c r="AM33" s="2"/>
      <c r="AW33" s="2"/>
      <c r="AX33" s="2"/>
      <c r="BH33" s="2"/>
      <c r="BI33" s="2"/>
      <c r="BO33" s="2"/>
      <c r="BS33" s="2"/>
      <c r="BT33" s="2"/>
      <c r="BY33" s="1"/>
    </row>
    <row r="34" spans="2:77" ht="15" customHeight="1" thickBot="1" x14ac:dyDescent="0.4">
      <c r="B34" s="98" t="s">
        <v>36</v>
      </c>
      <c r="C34" s="28" t="s">
        <v>403</v>
      </c>
      <c r="D34" s="73" t="s">
        <v>404</v>
      </c>
      <c r="E34" s="28" t="s">
        <v>64</v>
      </c>
      <c r="F34" s="28" t="s">
        <v>405</v>
      </c>
      <c r="G34" s="28" t="s">
        <v>406</v>
      </c>
      <c r="H34" s="28" t="s">
        <v>64</v>
      </c>
      <c r="I34" s="67"/>
      <c r="J34" s="413"/>
      <c r="K34" s="413"/>
      <c r="L34" s="1"/>
      <c r="M34" s="98" t="s">
        <v>36</v>
      </c>
      <c r="N34" s="28" t="s">
        <v>403</v>
      </c>
      <c r="O34" s="73" t="s">
        <v>407</v>
      </c>
      <c r="P34" s="28" t="s">
        <v>64</v>
      </c>
      <c r="R34" s="413"/>
      <c r="S34" s="1"/>
      <c r="T34" s="67"/>
      <c r="W34" s="1"/>
      <c r="AA34" s="2"/>
      <c r="AB34" s="2"/>
      <c r="AL34" s="2"/>
      <c r="AM34" s="2"/>
      <c r="AW34" s="2"/>
      <c r="AX34" s="2"/>
      <c r="BH34" s="2"/>
      <c r="BI34" s="2"/>
      <c r="BO34" s="2"/>
      <c r="BS34" s="2"/>
      <c r="BT34" s="2"/>
      <c r="BY34" s="1"/>
    </row>
    <row r="35" spans="2:77" ht="15" customHeight="1" x14ac:dyDescent="0.35">
      <c r="B35" s="99" t="s">
        <v>103</v>
      </c>
      <c r="C35" s="100">
        <f>N30/1000</f>
        <v>77.711186428499929</v>
      </c>
      <c r="D35" s="100">
        <f>O30/1000</f>
        <v>61.321887735600001</v>
      </c>
      <c r="E35" s="101">
        <f t="shared" ref="E35:E41" si="53">IF(OR(AND(D35&gt;0,C35&lt;0),AND(D35&lt;0,C35&gt;0)),"n.a",IFERROR(C35/D35-1,"N.A."))</f>
        <v>0.26726670195746816</v>
      </c>
      <c r="F35" s="100">
        <f>Q30/1000</f>
        <v>328.69569023909997</v>
      </c>
      <c r="G35" s="100">
        <f t="shared" ref="G35" si="54">R30/1000</f>
        <v>279.71831912399995</v>
      </c>
      <c r="H35" s="101">
        <f t="shared" ref="H35:H41" si="55">IF(OR(AND(G35&gt;0,F35&lt;0),AND(G35&lt;0,F35&gt;0)),"n.a",IFERROR(F35/G35-1,"N.A."))</f>
        <v>0.17509532900270375</v>
      </c>
      <c r="I35" s="66"/>
      <c r="J35" s="100">
        <f t="shared" ref="J35:J41" si="56">IFERROR(C35-D35,"N.A")</f>
        <v>16.389298692899928</v>
      </c>
      <c r="K35" s="100">
        <f t="shared" ref="K35:K41" si="57">IFERROR(F35-G35,"N.A")</f>
        <v>48.977371115100027</v>
      </c>
      <c r="L35" s="1"/>
      <c r="M35" s="99" t="s">
        <v>70</v>
      </c>
      <c r="N35" s="100">
        <f>C35</f>
        <v>77.711186428499929</v>
      </c>
      <c r="O35" s="100">
        <v>85.412650661099988</v>
      </c>
      <c r="P35" s="101">
        <f t="shared" ref="P35:P37" si="58">IF(OR(AND(O35&gt;0,N35&lt;0),AND(O35&lt;0,N35&gt;0)),"n.a",IFERROR(N35/O35-1,"N.A."))</f>
        <v>-9.0167723083058315E-2</v>
      </c>
      <c r="R35" s="100">
        <f t="shared" ref="R35:R41" si="59">IFERROR(N35-O35,"N.A")</f>
        <v>-7.7014642326000597</v>
      </c>
      <c r="S35" s="1"/>
      <c r="T35" s="66"/>
      <c r="W35" s="1"/>
      <c r="AA35" s="2"/>
      <c r="AB35" s="2"/>
      <c r="AL35" s="2"/>
      <c r="AM35" s="2"/>
      <c r="AW35" s="2"/>
      <c r="AX35" s="2"/>
      <c r="BH35" s="2"/>
      <c r="BI35" s="2"/>
      <c r="BO35" s="2"/>
      <c r="BS35" s="2"/>
      <c r="BT35" s="2"/>
      <c r="BY35" s="1"/>
    </row>
    <row r="36" spans="2:77" ht="15" customHeight="1" x14ac:dyDescent="0.35">
      <c r="B36" s="102" t="s">
        <v>104</v>
      </c>
      <c r="C36" s="103">
        <f>Y30/1000</f>
        <v>19.774820631000001</v>
      </c>
      <c r="D36" s="103">
        <f>Z30/1000</f>
        <v>16.791356387100002</v>
      </c>
      <c r="E36" s="60">
        <f t="shared" si="53"/>
        <v>0.17767857313731072</v>
      </c>
      <c r="F36" s="103">
        <f>AB30/1000</f>
        <v>62.472726450600007</v>
      </c>
      <c r="G36" s="103">
        <f t="shared" ref="G36" si="60">AC30/1000</f>
        <v>57.171834757800006</v>
      </c>
      <c r="H36" s="60">
        <f t="shared" si="55"/>
        <v>9.2718586262911407E-2</v>
      </c>
      <c r="I36" s="66"/>
      <c r="J36" s="103">
        <f t="shared" si="56"/>
        <v>2.9834642438999985</v>
      </c>
      <c r="K36" s="103">
        <f t="shared" si="57"/>
        <v>5.3008916928000005</v>
      </c>
      <c r="L36" s="1"/>
      <c r="M36" s="102" t="s">
        <v>72</v>
      </c>
      <c r="N36" s="103">
        <f t="shared" ref="N36:N41" si="61">C36</f>
        <v>19.774820631000001</v>
      </c>
      <c r="O36" s="103">
        <v>13.530283435199999</v>
      </c>
      <c r="P36" s="60">
        <f t="shared" si="58"/>
        <v>0.46152301433349074</v>
      </c>
      <c r="R36" s="103">
        <f t="shared" si="59"/>
        <v>6.2445371958000013</v>
      </c>
      <c r="S36" s="1"/>
      <c r="T36" s="66"/>
      <c r="W36" s="1"/>
      <c r="AA36" s="2"/>
      <c r="AB36" s="2"/>
      <c r="AL36" s="2"/>
      <c r="AM36" s="2"/>
      <c r="AW36" s="2"/>
      <c r="AX36" s="2"/>
      <c r="BH36" s="2"/>
      <c r="BI36" s="2"/>
      <c r="BO36" s="2"/>
      <c r="BS36" s="2"/>
      <c r="BT36" s="2"/>
      <c r="BY36" s="1"/>
    </row>
    <row r="37" spans="2:77" ht="15" customHeight="1" x14ac:dyDescent="0.35">
      <c r="B37" s="102" t="s">
        <v>105</v>
      </c>
      <c r="C37" s="103">
        <f>SUM(C38:C40)</f>
        <v>77.275754854499979</v>
      </c>
      <c r="D37" s="103">
        <f>SUM(D38:D40)</f>
        <v>48.604636528799993</v>
      </c>
      <c r="E37" s="60">
        <f t="shared" si="53"/>
        <v>0.58988443023766512</v>
      </c>
      <c r="F37" s="103">
        <f>SUM(F38:F40)</f>
        <v>291.8200537482</v>
      </c>
      <c r="G37" s="103">
        <f t="shared" ref="G37" si="62">SUM(G38:G40)</f>
        <v>67.264243898099991</v>
      </c>
      <c r="H37" s="60">
        <f t="shared" si="55"/>
        <v>3.3384127559700856</v>
      </c>
      <c r="I37" s="66"/>
      <c r="J37" s="103">
        <f t="shared" si="56"/>
        <v>28.671118325699986</v>
      </c>
      <c r="K37" s="103">
        <f t="shared" si="57"/>
        <v>224.55580985009999</v>
      </c>
      <c r="L37" s="1"/>
      <c r="M37" s="102" t="s">
        <v>86</v>
      </c>
      <c r="N37" s="103">
        <f t="shared" si="61"/>
        <v>77.275754854499979</v>
      </c>
      <c r="O37" s="103">
        <v>71.726075063699994</v>
      </c>
      <c r="P37" s="60">
        <f t="shared" si="58"/>
        <v>7.7373253532572406E-2</v>
      </c>
      <c r="R37" s="103">
        <f t="shared" si="59"/>
        <v>5.5496797907999849</v>
      </c>
      <c r="S37" s="1"/>
      <c r="T37" s="66"/>
      <c r="W37" s="1"/>
      <c r="AA37" s="2"/>
      <c r="AB37" s="2"/>
      <c r="AL37" s="2"/>
      <c r="AM37" s="2"/>
      <c r="AW37" s="2"/>
      <c r="AX37" s="2"/>
      <c r="BH37" s="2"/>
      <c r="BI37" s="2"/>
      <c r="BO37" s="2"/>
      <c r="BS37" s="2"/>
      <c r="BT37" s="2"/>
      <c r="BY37" s="1"/>
    </row>
    <row r="38" spans="2:77" ht="15" customHeight="1" x14ac:dyDescent="0.35">
      <c r="B38" s="108" t="s">
        <v>89</v>
      </c>
      <c r="C38" s="47">
        <f>AJ30/1000</f>
        <v>12.468610146899998</v>
      </c>
      <c r="D38" s="47">
        <f>AK30/1000</f>
        <v>11.9931609486</v>
      </c>
      <c r="E38" s="49">
        <f t="shared" si="53"/>
        <v>3.9643360106452974E-2</v>
      </c>
      <c r="F38" s="47">
        <f>AM30/1000</f>
        <v>49.106879999999997</v>
      </c>
      <c r="G38" s="47">
        <f t="shared" ref="G38" si="63">AN30/1000</f>
        <v>25.770767318099999</v>
      </c>
      <c r="H38" s="49">
        <f t="shared" si="55"/>
        <v>0.90552649806084617</v>
      </c>
      <c r="I38" s="66"/>
      <c r="J38" s="47">
        <f t="shared" si="56"/>
        <v>0.47544919829999799</v>
      </c>
      <c r="K38" s="47">
        <f t="shared" si="57"/>
        <v>23.336112681899998</v>
      </c>
      <c r="L38" s="1"/>
      <c r="M38" s="108" t="s">
        <v>89</v>
      </c>
      <c r="N38" s="47">
        <f t="shared" si="61"/>
        <v>12.468610146899998</v>
      </c>
      <c r="O38" s="47">
        <v>12.684771892500004</v>
      </c>
      <c r="P38" s="49">
        <f>IF(OR(AND(O30&gt;0,N30&lt;0),AND(O30&lt;0,N30&gt;0)),"n.a",IFERROR(N30/O30-1,"N.A."))</f>
        <v>0.26726670195746816</v>
      </c>
      <c r="R38" s="47">
        <f t="shared" si="59"/>
        <v>-0.21616174560000623</v>
      </c>
      <c r="S38" s="1"/>
      <c r="T38" s="66"/>
      <c r="W38" s="1"/>
      <c r="AA38" s="2"/>
      <c r="AB38" s="2"/>
      <c r="AL38" s="2"/>
      <c r="AM38" s="2"/>
      <c r="AW38" s="2"/>
      <c r="AX38" s="2"/>
      <c r="BH38" s="2"/>
      <c r="BI38" s="2"/>
      <c r="BO38" s="2"/>
      <c r="BS38" s="2"/>
      <c r="BT38" s="2"/>
      <c r="BY38" s="1"/>
    </row>
    <row r="39" spans="2:77" ht="15" customHeight="1" x14ac:dyDescent="0.35">
      <c r="B39" s="108" t="s">
        <v>93</v>
      </c>
      <c r="C39" s="47">
        <f>AU30/1000</f>
        <v>19.272894599099995</v>
      </c>
      <c r="D39" s="47">
        <f>AV30/1000</f>
        <v>16.548633877199997</v>
      </c>
      <c r="E39" s="49">
        <f t="shared" si="53"/>
        <v>0.16462148731523807</v>
      </c>
      <c r="F39" s="47">
        <f>AX30/1000</f>
        <v>73.881659999999997</v>
      </c>
      <c r="G39" s="47">
        <f t="shared" ref="G39" si="64">AY30/1000</f>
        <v>21.430634876999996</v>
      </c>
      <c r="H39" s="49">
        <f t="shared" si="55"/>
        <v>2.4474788275774335</v>
      </c>
      <c r="I39" s="66"/>
      <c r="J39" s="47">
        <f t="shared" si="56"/>
        <v>2.7242607218999986</v>
      </c>
      <c r="K39" s="47">
        <f t="shared" si="57"/>
        <v>52.451025123000001</v>
      </c>
      <c r="L39" s="1"/>
      <c r="M39" s="108" t="s">
        <v>93</v>
      </c>
      <c r="N39" s="47">
        <f t="shared" si="61"/>
        <v>19.272894599099995</v>
      </c>
      <c r="O39" s="47">
        <v>18.967016937900006</v>
      </c>
      <c r="P39" s="49">
        <f t="shared" ref="P39:P41" si="65">IF(OR(AND(O39&gt;0,N39&lt;0),AND(O39&lt;0,N39&gt;0)),"n.a",IFERROR(N39/O39-1,"N.A."))</f>
        <v>1.6126819636501866E-2</v>
      </c>
      <c r="R39" s="47">
        <f t="shared" si="59"/>
        <v>0.3058776611999896</v>
      </c>
      <c r="S39" s="1"/>
      <c r="T39" s="66"/>
      <c r="W39" s="1"/>
      <c r="AA39" s="2"/>
      <c r="AB39" s="2"/>
      <c r="AL39" s="2"/>
      <c r="AM39" s="2"/>
      <c r="AW39" s="2"/>
      <c r="AX39" s="2"/>
      <c r="BH39" s="2"/>
      <c r="BI39" s="2"/>
      <c r="BO39" s="2"/>
      <c r="BS39" s="2"/>
      <c r="BT39" s="2"/>
      <c r="BY39" s="1"/>
    </row>
    <row r="40" spans="2:77" ht="15" customHeight="1" thickBot="1" x14ac:dyDescent="0.4">
      <c r="B40" s="108" t="s">
        <v>95</v>
      </c>
      <c r="C40" s="47">
        <f>BF30/1000</f>
        <v>45.53425010849999</v>
      </c>
      <c r="D40" s="47">
        <f>BG30/1000</f>
        <v>20.062841702999997</v>
      </c>
      <c r="E40" s="49">
        <f t="shared" si="53"/>
        <v>1.2695812877639989</v>
      </c>
      <c r="F40" s="47">
        <f>BI30/1000</f>
        <v>168.8315137482</v>
      </c>
      <c r="G40" s="47">
        <f t="shared" ref="G40" si="66">BJ30/1000</f>
        <v>20.062841702999997</v>
      </c>
      <c r="H40" s="49">
        <f t="shared" si="55"/>
        <v>7.4151346178918729</v>
      </c>
      <c r="I40" s="66"/>
      <c r="J40" s="47">
        <f t="shared" si="56"/>
        <v>25.471408405499993</v>
      </c>
      <c r="K40" s="47">
        <f t="shared" si="57"/>
        <v>148.76867204519999</v>
      </c>
      <c r="L40" s="1"/>
      <c r="M40" s="108" t="s">
        <v>95</v>
      </c>
      <c r="N40" s="47">
        <f t="shared" si="61"/>
        <v>45.53425010849999</v>
      </c>
      <c r="O40" s="47">
        <v>40.074286233299993</v>
      </c>
      <c r="P40" s="49">
        <f t="shared" si="65"/>
        <v>0.136246066702568</v>
      </c>
      <c r="R40" s="47">
        <f t="shared" si="59"/>
        <v>5.4599638751999962</v>
      </c>
      <c r="S40" s="1"/>
      <c r="T40" s="66"/>
      <c r="W40" s="1"/>
      <c r="AA40" s="2"/>
      <c r="AB40" s="2"/>
      <c r="AL40" s="2"/>
      <c r="AM40" s="2"/>
      <c r="AW40" s="2"/>
      <c r="AX40" s="2"/>
      <c r="BH40" s="2"/>
      <c r="BI40" s="2"/>
      <c r="BO40" s="2"/>
      <c r="BS40" s="2"/>
      <c r="BT40" s="2"/>
      <c r="BY40" s="1"/>
    </row>
    <row r="41" spans="2:77" ht="15" customHeight="1" thickBot="1" x14ac:dyDescent="0.4">
      <c r="B41" s="86" t="s">
        <v>49</v>
      </c>
      <c r="C41" s="87">
        <f>SUM(C35:C37)</f>
        <v>174.76176191399992</v>
      </c>
      <c r="D41" s="87">
        <f>SUM(D35:D37)</f>
        <v>126.7178806515</v>
      </c>
      <c r="E41" s="114">
        <f t="shared" si="53"/>
        <v>0.37914050499810981</v>
      </c>
      <c r="F41" s="87">
        <f>SUM(F35:F37)</f>
        <v>682.98847043789999</v>
      </c>
      <c r="G41" s="87">
        <f t="shared" ref="G41" si="67">SUM(G35:G37)</f>
        <v>404.15439777989997</v>
      </c>
      <c r="H41" s="114">
        <f t="shared" si="55"/>
        <v>0.68991967968105938</v>
      </c>
      <c r="I41" s="66"/>
      <c r="J41" s="87">
        <f t="shared" si="56"/>
        <v>48.043881262499923</v>
      </c>
      <c r="K41" s="87">
        <f t="shared" si="57"/>
        <v>278.83407265800003</v>
      </c>
      <c r="L41" s="1"/>
      <c r="M41" s="86" t="s">
        <v>49</v>
      </c>
      <c r="N41" s="87">
        <f t="shared" si="61"/>
        <v>174.76176191399992</v>
      </c>
      <c r="O41" s="87">
        <v>170.66900915999997</v>
      </c>
      <c r="P41" s="114">
        <f t="shared" si="65"/>
        <v>2.3980644020514807E-2</v>
      </c>
      <c r="R41" s="87">
        <f t="shared" si="59"/>
        <v>4.092752753999946</v>
      </c>
      <c r="S41" s="1"/>
      <c r="T41" s="66"/>
      <c r="W41" s="1"/>
      <c r="AA41" s="2"/>
      <c r="AB41" s="2"/>
      <c r="AL41" s="2"/>
      <c r="AM41" s="2"/>
      <c r="AW41" s="2"/>
      <c r="AX41" s="2"/>
      <c r="BH41" s="2"/>
      <c r="BI41" s="2"/>
      <c r="BO41" s="2"/>
      <c r="BS41" s="2"/>
      <c r="BT41" s="2"/>
      <c r="BY41" s="1"/>
    </row>
    <row r="42" spans="2:77" ht="15" customHeight="1" x14ac:dyDescent="0.35">
      <c r="B42" s="2"/>
      <c r="L42" s="1"/>
      <c r="M42" s="1"/>
      <c r="N42" s="1"/>
      <c r="O42" s="1"/>
      <c r="R42" s="1"/>
      <c r="S42" s="1"/>
      <c r="T42" s="1"/>
      <c r="U42" s="1"/>
      <c r="V42" s="1"/>
      <c r="W42" s="1"/>
      <c r="X42" s="1"/>
      <c r="Y42" s="1"/>
      <c r="Z42" s="1"/>
      <c r="AC42" s="1"/>
      <c r="AD42" s="1"/>
      <c r="AE42" s="1"/>
      <c r="AF42" s="1"/>
      <c r="AG42" s="1"/>
      <c r="AH42" s="1"/>
      <c r="AI42" s="1"/>
      <c r="AJ42" s="1"/>
      <c r="AK42" s="1"/>
      <c r="AN42" s="1"/>
      <c r="AO42" s="1"/>
      <c r="AP42" s="1"/>
      <c r="AQ42" s="1"/>
      <c r="AR42" s="1"/>
      <c r="AS42" s="1"/>
      <c r="AT42" s="1"/>
      <c r="AU42" s="1"/>
      <c r="AV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P42" s="1"/>
      <c r="BQ42" s="1"/>
      <c r="BR42" s="1"/>
      <c r="BU42" s="1"/>
      <c r="BV42" s="1"/>
      <c r="BW42" s="1"/>
      <c r="BX42" s="1"/>
      <c r="BY42" s="1"/>
    </row>
    <row r="43" spans="2:77" ht="15" hidden="1" customHeight="1" x14ac:dyDescent="0.35"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  <c r="R43" s="1"/>
      <c r="S43" s="1"/>
      <c r="T43" s="1"/>
      <c r="U43" s="1"/>
      <c r="V43" s="1"/>
      <c r="AA43" s="2"/>
      <c r="AB43" s="2"/>
      <c r="AC43" s="1"/>
      <c r="AD43" s="1"/>
      <c r="AE43" s="1"/>
      <c r="AF43" s="1"/>
      <c r="AG43" s="1"/>
      <c r="AL43" s="2"/>
      <c r="AM43" s="2"/>
      <c r="AN43" s="1"/>
      <c r="AO43" s="1"/>
      <c r="AP43" s="1"/>
      <c r="AQ43" s="1"/>
      <c r="AR43" s="1"/>
      <c r="AW43" s="2"/>
      <c r="AX43" s="2"/>
      <c r="AY43" s="1"/>
      <c r="AZ43" s="1"/>
      <c r="BA43" s="1"/>
      <c r="BB43" s="1"/>
      <c r="BC43" s="1"/>
      <c r="BH43" s="2"/>
      <c r="BI43" s="2"/>
      <c r="BJ43" s="1"/>
      <c r="BK43" s="1"/>
      <c r="BL43" s="1"/>
      <c r="BM43" s="1"/>
      <c r="BN43" s="1"/>
      <c r="BS43" s="2"/>
      <c r="BT43" s="2"/>
      <c r="BU43" s="1"/>
      <c r="BV43" s="1"/>
      <c r="BW43" s="1"/>
      <c r="BX43" s="1"/>
      <c r="BY43" s="1"/>
    </row>
    <row r="44" spans="2:77" ht="15" hidden="1" customHeight="1" x14ac:dyDescent="0.35"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  <c r="R44" s="1"/>
      <c r="S44" s="1"/>
      <c r="T44" s="1"/>
      <c r="U44" s="1"/>
      <c r="V44" s="1"/>
      <c r="AA44" s="2"/>
      <c r="AB44" s="2"/>
      <c r="AC44" s="1"/>
      <c r="AD44" s="1"/>
      <c r="AE44" s="1"/>
      <c r="AF44" s="1"/>
      <c r="AG44" s="1"/>
      <c r="AL44" s="2"/>
      <c r="AM44" s="2"/>
      <c r="AN44" s="1"/>
      <c r="AO44" s="1"/>
      <c r="AP44" s="1"/>
      <c r="AQ44" s="1"/>
      <c r="AR44" s="1"/>
      <c r="AW44" s="2"/>
      <c r="AX44" s="2"/>
      <c r="AY44" s="1"/>
      <c r="AZ44" s="1"/>
      <c r="BA44" s="1"/>
      <c r="BB44" s="1"/>
      <c r="BC44" s="1"/>
      <c r="BH44" s="2"/>
      <c r="BI44" s="2"/>
      <c r="BJ44" s="1"/>
      <c r="BK44" s="1"/>
      <c r="BL44" s="1"/>
      <c r="BM44" s="1"/>
      <c r="BN44" s="1"/>
      <c r="BS44" s="2"/>
      <c r="BT44" s="2"/>
      <c r="BU44" s="1"/>
      <c r="BV44" s="1"/>
      <c r="BW44" s="1"/>
      <c r="BX44" s="1"/>
      <c r="BY44" s="1"/>
    </row>
    <row r="45" spans="2:77" ht="15" hidden="1" customHeight="1" x14ac:dyDescent="0.35"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  <c r="R45" s="1"/>
      <c r="S45" s="1"/>
      <c r="T45" s="1"/>
      <c r="U45" s="1"/>
      <c r="V45" s="1"/>
      <c r="AA45" s="2"/>
      <c r="AB45" s="2"/>
      <c r="AC45" s="1"/>
      <c r="AD45" s="1"/>
      <c r="AE45" s="1"/>
      <c r="AF45" s="1"/>
      <c r="AG45" s="1"/>
      <c r="AL45" s="2"/>
      <c r="AM45" s="2"/>
      <c r="AN45" s="1"/>
      <c r="AO45" s="1"/>
      <c r="AP45" s="1"/>
      <c r="AQ45" s="1"/>
      <c r="AR45" s="1"/>
      <c r="AW45" s="2"/>
      <c r="AX45" s="2"/>
      <c r="AY45" s="1"/>
      <c r="AZ45" s="1"/>
      <c r="BA45" s="1"/>
      <c r="BB45" s="1"/>
      <c r="BC45" s="1"/>
      <c r="BH45" s="2"/>
      <c r="BI45" s="2"/>
      <c r="BJ45" s="1"/>
      <c r="BK45" s="1"/>
      <c r="BL45" s="1"/>
      <c r="BM45" s="1"/>
      <c r="BN45" s="1"/>
      <c r="BS45" s="2"/>
      <c r="BT45" s="2"/>
      <c r="BU45" s="1"/>
      <c r="BV45" s="1"/>
      <c r="BW45" s="1"/>
      <c r="BX45" s="1"/>
      <c r="BY45" s="1"/>
    </row>
    <row r="46" spans="2:77" ht="15" hidden="1" customHeight="1" x14ac:dyDescent="0.35"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  <c r="R46" s="1"/>
      <c r="S46" s="1"/>
      <c r="T46" s="1"/>
      <c r="U46" s="1"/>
      <c r="V46" s="1"/>
      <c r="AA46" s="2"/>
      <c r="AB46" s="2"/>
      <c r="AC46" s="1"/>
      <c r="AD46" s="1"/>
      <c r="AE46" s="1"/>
      <c r="AF46" s="1"/>
      <c r="AG46" s="1"/>
      <c r="AL46" s="2"/>
      <c r="AM46" s="2"/>
      <c r="AN46" s="1"/>
      <c r="AO46" s="1"/>
      <c r="AP46" s="1"/>
      <c r="AQ46" s="1"/>
      <c r="AR46" s="1"/>
      <c r="AW46" s="2"/>
      <c r="AX46" s="2"/>
      <c r="AY46" s="1"/>
      <c r="AZ46" s="1"/>
      <c r="BA46" s="1"/>
      <c r="BB46" s="1"/>
      <c r="BC46" s="1"/>
      <c r="BH46" s="2"/>
      <c r="BI46" s="2"/>
      <c r="BJ46" s="1"/>
      <c r="BK46" s="1"/>
      <c r="BL46" s="1"/>
      <c r="BM46" s="1"/>
      <c r="BN46" s="1"/>
      <c r="BS46" s="2"/>
      <c r="BT46" s="2"/>
      <c r="BU46" s="1"/>
      <c r="BV46" s="1"/>
      <c r="BW46" s="1"/>
      <c r="BX46" s="1"/>
      <c r="BY46" s="1"/>
    </row>
    <row r="47" spans="2:77" ht="15" hidden="1" customHeight="1" x14ac:dyDescent="0.35">
      <c r="C47" s="1"/>
      <c r="D47" s="1"/>
      <c r="E47" s="1"/>
      <c r="F47" s="1"/>
      <c r="G47" s="1"/>
      <c r="H47" s="1"/>
      <c r="J47" s="1"/>
      <c r="K47" s="1"/>
      <c r="P47" s="2"/>
      <c r="Q47" s="2"/>
      <c r="R47" s="1"/>
      <c r="S47" s="1"/>
      <c r="T47" s="1"/>
      <c r="U47" s="1"/>
      <c r="V47" s="1"/>
      <c r="AA47" s="2"/>
      <c r="AB47" s="2"/>
      <c r="AC47" s="1"/>
      <c r="AD47" s="1"/>
      <c r="AE47" s="1"/>
      <c r="AF47" s="1"/>
      <c r="AG47" s="1"/>
      <c r="AL47" s="2"/>
      <c r="AM47" s="2"/>
      <c r="AN47" s="1"/>
      <c r="AO47" s="1"/>
      <c r="AP47" s="1"/>
      <c r="AQ47" s="1"/>
      <c r="AR47" s="1"/>
      <c r="AW47" s="2"/>
      <c r="AX47" s="2"/>
      <c r="AY47" s="1"/>
      <c r="AZ47" s="1"/>
      <c r="BA47" s="1"/>
      <c r="BB47" s="1"/>
      <c r="BC47" s="1"/>
      <c r="BH47" s="2"/>
      <c r="BI47" s="2"/>
      <c r="BJ47" s="1"/>
      <c r="BK47" s="1"/>
      <c r="BL47" s="1"/>
      <c r="BM47" s="1"/>
      <c r="BN47" s="1"/>
      <c r="BS47" s="2"/>
      <c r="BT47" s="2"/>
      <c r="BU47" s="1"/>
      <c r="BV47" s="1"/>
      <c r="BW47" s="1"/>
      <c r="BX47" s="1"/>
      <c r="BY47" s="1"/>
    </row>
    <row r="48" spans="2:77" ht="15" hidden="1" customHeight="1" x14ac:dyDescent="0.35">
      <c r="C48" s="1"/>
      <c r="D48" s="1"/>
      <c r="E48" s="1"/>
      <c r="F48" s="1"/>
      <c r="G48" s="1"/>
      <c r="H48" s="1"/>
      <c r="J48" s="1"/>
      <c r="K48" s="1"/>
      <c r="P48" s="2"/>
      <c r="Q48" s="2"/>
      <c r="R48" s="1"/>
      <c r="S48" s="1"/>
      <c r="T48" s="1"/>
      <c r="U48" s="1"/>
      <c r="V48" s="1"/>
      <c r="AA48" s="2"/>
      <c r="AB48" s="2"/>
      <c r="AC48" s="1"/>
      <c r="AD48" s="1"/>
      <c r="AE48" s="1"/>
      <c r="AF48" s="1"/>
      <c r="AG48" s="1"/>
      <c r="AL48" s="2"/>
      <c r="AM48" s="2"/>
      <c r="AN48" s="1"/>
      <c r="AO48" s="1"/>
      <c r="AP48" s="1"/>
      <c r="AQ48" s="1"/>
      <c r="AR48" s="1"/>
      <c r="AW48" s="2"/>
      <c r="AX48" s="2"/>
      <c r="AY48" s="1"/>
      <c r="AZ48" s="1"/>
      <c r="BA48" s="1"/>
      <c r="BB48" s="1"/>
      <c r="BC48" s="1"/>
      <c r="BH48" s="2"/>
      <c r="BI48" s="2"/>
      <c r="BJ48" s="1"/>
      <c r="BK48" s="1"/>
      <c r="BL48" s="1"/>
      <c r="BM48" s="1"/>
      <c r="BN48" s="1"/>
      <c r="BS48" s="2"/>
      <c r="BT48" s="2"/>
      <c r="BU48" s="1"/>
      <c r="BV48" s="1"/>
      <c r="BW48" s="1"/>
      <c r="BX48" s="1"/>
      <c r="BY48" s="1"/>
    </row>
    <row r="49" spans="3:77" ht="15" hidden="1" customHeight="1" x14ac:dyDescent="0.35">
      <c r="C49" s="1"/>
      <c r="D49" s="1"/>
      <c r="E49" s="1"/>
      <c r="F49" s="1"/>
      <c r="G49" s="1"/>
      <c r="H49" s="1"/>
      <c r="J49" s="1"/>
      <c r="K49" s="1"/>
      <c r="P49" s="2"/>
      <c r="Q49" s="2"/>
      <c r="R49" s="1"/>
      <c r="S49" s="1"/>
      <c r="T49" s="1"/>
      <c r="U49" s="1"/>
      <c r="V49" s="1"/>
      <c r="AA49" s="2"/>
      <c r="AB49" s="2"/>
      <c r="AC49" s="1"/>
      <c r="AD49" s="1"/>
      <c r="AE49" s="1"/>
      <c r="AF49" s="1"/>
      <c r="AG49" s="1"/>
      <c r="AL49" s="2"/>
      <c r="AM49" s="2"/>
      <c r="AN49" s="1"/>
      <c r="AO49" s="1"/>
      <c r="AP49" s="1"/>
      <c r="AQ49" s="1"/>
      <c r="AR49" s="1"/>
      <c r="AW49" s="2"/>
      <c r="AX49" s="2"/>
      <c r="AY49" s="1"/>
      <c r="AZ49" s="1"/>
      <c r="BA49" s="1"/>
      <c r="BB49" s="1"/>
      <c r="BC49" s="1"/>
      <c r="BH49" s="2"/>
      <c r="BI49" s="2"/>
      <c r="BJ49" s="1"/>
      <c r="BK49" s="1"/>
      <c r="BL49" s="1"/>
      <c r="BM49" s="1"/>
      <c r="BN49" s="1"/>
      <c r="BS49" s="2"/>
      <c r="BT49" s="2"/>
      <c r="BU49" s="1"/>
      <c r="BV49" s="1"/>
      <c r="BW49" s="1"/>
      <c r="BX49" s="1"/>
      <c r="BY49" s="1"/>
    </row>
    <row r="50" spans="3:77" ht="15" hidden="1" customHeight="1" x14ac:dyDescent="0.35">
      <c r="C50" s="1"/>
      <c r="D50" s="1"/>
      <c r="E50" s="1"/>
      <c r="F50" s="1"/>
      <c r="G50" s="1"/>
      <c r="H50" s="1"/>
      <c r="P50" s="2"/>
      <c r="Q50" s="2"/>
      <c r="R50" s="1"/>
      <c r="S50" s="1"/>
      <c r="T50" s="1"/>
      <c r="U50" s="1"/>
      <c r="V50" s="1"/>
      <c r="AA50" s="2"/>
      <c r="AB50" s="2"/>
      <c r="AC50" s="1"/>
      <c r="AD50" s="1"/>
      <c r="AE50" s="1"/>
      <c r="AF50" s="1"/>
      <c r="AG50" s="1"/>
      <c r="AL50" s="2"/>
      <c r="AM50" s="2"/>
      <c r="AN50" s="1"/>
      <c r="AO50" s="1"/>
      <c r="AP50" s="1"/>
      <c r="AQ50" s="1"/>
      <c r="AR50" s="1"/>
      <c r="AW50" s="2"/>
      <c r="AX50" s="2"/>
      <c r="AY50" s="1"/>
      <c r="AZ50" s="1"/>
      <c r="BA50" s="1"/>
      <c r="BB50" s="1"/>
      <c r="BC50" s="1"/>
      <c r="BH50" s="2"/>
      <c r="BI50" s="2"/>
      <c r="BJ50" s="1"/>
      <c r="BK50" s="1"/>
      <c r="BL50" s="1"/>
      <c r="BM50" s="1"/>
      <c r="BN50" s="1"/>
      <c r="BS50" s="2"/>
      <c r="BT50" s="2"/>
      <c r="BU50" s="1"/>
      <c r="BV50" s="1"/>
      <c r="BW50" s="1"/>
      <c r="BX50" s="1"/>
      <c r="BY50" s="1"/>
    </row>
    <row r="51" spans="3:77" ht="15" hidden="1" customHeight="1" x14ac:dyDescent="0.35">
      <c r="C51" s="1"/>
      <c r="D51" s="1"/>
      <c r="E51" s="1"/>
      <c r="F51" s="1"/>
      <c r="G51" s="1"/>
      <c r="H51" s="1"/>
      <c r="P51" s="2"/>
      <c r="Q51" s="2"/>
      <c r="R51" s="1"/>
      <c r="S51" s="1"/>
      <c r="T51" s="1"/>
      <c r="U51" s="1"/>
      <c r="V51" s="1"/>
      <c r="AA51" s="2"/>
      <c r="AB51" s="2"/>
      <c r="AC51" s="1"/>
      <c r="AD51" s="1"/>
      <c r="AE51" s="1"/>
      <c r="AF51" s="1"/>
      <c r="AG51" s="1"/>
      <c r="AL51" s="2"/>
      <c r="AM51" s="2"/>
      <c r="AN51" s="1"/>
      <c r="AO51" s="1"/>
      <c r="AP51" s="1"/>
      <c r="AQ51" s="1"/>
      <c r="AR51" s="1"/>
      <c r="AW51" s="2"/>
      <c r="AX51" s="2"/>
      <c r="AY51" s="1"/>
      <c r="AZ51" s="1"/>
      <c r="BA51" s="1"/>
      <c r="BB51" s="1"/>
      <c r="BC51" s="1"/>
      <c r="BH51" s="2"/>
      <c r="BI51" s="2"/>
      <c r="BJ51" s="1"/>
      <c r="BK51" s="1"/>
      <c r="BL51" s="1"/>
      <c r="BM51" s="1"/>
      <c r="BN51" s="1"/>
      <c r="BS51" s="2"/>
      <c r="BT51" s="2"/>
      <c r="BU51" s="1"/>
      <c r="BV51" s="1"/>
      <c r="BW51" s="1"/>
      <c r="BX51" s="1"/>
      <c r="BY51" s="1"/>
    </row>
    <row r="52" spans="3:77" ht="15" hidden="1" customHeight="1" x14ac:dyDescent="0.35">
      <c r="C52" s="1"/>
      <c r="D52" s="1"/>
      <c r="E52" s="1"/>
      <c r="F52" s="1"/>
      <c r="G52" s="1"/>
      <c r="H52" s="1"/>
      <c r="P52" s="2"/>
      <c r="Q52" s="2"/>
      <c r="R52" s="1"/>
      <c r="S52" s="1"/>
      <c r="T52" s="1"/>
      <c r="U52" s="1"/>
      <c r="V52" s="1"/>
      <c r="AA52" s="2"/>
      <c r="AB52" s="2"/>
      <c r="AC52" s="1"/>
      <c r="AD52" s="1"/>
      <c r="AE52" s="1"/>
      <c r="AF52" s="1"/>
      <c r="AG52" s="1"/>
      <c r="AL52" s="2"/>
      <c r="AM52" s="2"/>
      <c r="AN52" s="1"/>
      <c r="AO52" s="1"/>
      <c r="AP52" s="1"/>
      <c r="AQ52" s="1"/>
      <c r="AR52" s="1"/>
      <c r="AW52" s="2"/>
      <c r="AX52" s="2"/>
      <c r="AY52" s="1"/>
      <c r="AZ52" s="1"/>
      <c r="BA52" s="1"/>
      <c r="BB52" s="1"/>
      <c r="BC52" s="1"/>
      <c r="BH52" s="2"/>
      <c r="BI52" s="2"/>
      <c r="BJ52" s="1"/>
      <c r="BK52" s="1"/>
      <c r="BL52" s="1"/>
      <c r="BM52" s="1"/>
      <c r="BN52" s="1"/>
      <c r="BS52" s="2"/>
      <c r="BT52" s="2"/>
      <c r="BU52" s="1"/>
      <c r="BV52" s="1"/>
      <c r="BW52" s="1"/>
      <c r="BX52" s="1"/>
      <c r="BY52" s="1"/>
    </row>
    <row r="53" spans="3:77" ht="15" hidden="1" customHeight="1" x14ac:dyDescent="0.35">
      <c r="C53" s="1"/>
      <c r="D53" s="1"/>
      <c r="E53" s="1"/>
      <c r="F53" s="1"/>
      <c r="G53" s="1"/>
      <c r="H53" s="1"/>
      <c r="P53" s="2"/>
      <c r="Q53" s="2"/>
      <c r="R53" s="1"/>
      <c r="S53" s="1"/>
      <c r="T53" s="1"/>
      <c r="U53" s="1"/>
      <c r="V53" s="1"/>
      <c r="AA53" s="2"/>
      <c r="AB53" s="2"/>
      <c r="AC53" s="1"/>
      <c r="AD53" s="1"/>
      <c r="AE53" s="1"/>
      <c r="AF53" s="1"/>
      <c r="AG53" s="1"/>
      <c r="AL53" s="2"/>
      <c r="AM53" s="2"/>
      <c r="AN53" s="1"/>
      <c r="AO53" s="1"/>
      <c r="AP53" s="1"/>
      <c r="AQ53" s="1"/>
      <c r="AR53" s="1"/>
      <c r="AW53" s="2"/>
      <c r="AX53" s="2"/>
      <c r="AY53" s="1"/>
      <c r="AZ53" s="1"/>
      <c r="BA53" s="1"/>
      <c r="BB53" s="1"/>
      <c r="BC53" s="1"/>
      <c r="BH53" s="2"/>
      <c r="BI53" s="2"/>
      <c r="BJ53" s="1"/>
      <c r="BK53" s="1"/>
      <c r="BL53" s="1"/>
      <c r="BM53" s="1"/>
      <c r="BN53" s="1"/>
      <c r="BS53" s="2"/>
      <c r="BT53" s="2"/>
      <c r="BU53" s="1"/>
      <c r="BV53" s="1"/>
      <c r="BW53" s="1"/>
      <c r="BX53" s="1"/>
      <c r="BY53" s="1"/>
    </row>
    <row r="54" spans="3:77" ht="15" hidden="1" customHeight="1" x14ac:dyDescent="0.35">
      <c r="C54" s="1"/>
      <c r="D54" s="1"/>
      <c r="E54" s="1"/>
      <c r="F54" s="1"/>
      <c r="G54" s="1"/>
      <c r="H54" s="1"/>
      <c r="P54" s="2"/>
      <c r="Q54" s="2"/>
      <c r="R54" s="1"/>
      <c r="S54" s="1"/>
      <c r="T54" s="1"/>
      <c r="U54" s="1"/>
      <c r="V54" s="1"/>
      <c r="AA54" s="2"/>
      <c r="AB54" s="2"/>
      <c r="AC54" s="1"/>
      <c r="AD54" s="1"/>
      <c r="AE54" s="1"/>
      <c r="AF54" s="1"/>
      <c r="AG54" s="1"/>
      <c r="AL54" s="2"/>
      <c r="AM54" s="2"/>
      <c r="AN54" s="1"/>
      <c r="AO54" s="1"/>
      <c r="AP54" s="1"/>
      <c r="AQ54" s="1"/>
      <c r="AR54" s="1"/>
      <c r="AW54" s="2"/>
      <c r="AX54" s="2"/>
      <c r="AY54" s="1"/>
      <c r="AZ54" s="1"/>
      <c r="BA54" s="1"/>
      <c r="BB54" s="1"/>
      <c r="BC54" s="1"/>
      <c r="BH54" s="2"/>
      <c r="BI54" s="2"/>
      <c r="BJ54" s="1"/>
      <c r="BK54" s="1"/>
      <c r="BL54" s="1"/>
      <c r="BM54" s="1"/>
      <c r="BN54" s="1"/>
      <c r="BS54" s="2"/>
      <c r="BT54" s="2"/>
      <c r="BU54" s="1"/>
      <c r="BV54" s="1"/>
      <c r="BW54" s="1"/>
      <c r="BX54" s="1"/>
      <c r="BY54" s="1"/>
    </row>
    <row r="55" spans="3:77" ht="15" hidden="1" customHeight="1" x14ac:dyDescent="0.35">
      <c r="C55" s="1"/>
      <c r="D55" s="1"/>
      <c r="E55" s="1"/>
      <c r="F55" s="1"/>
      <c r="G55" s="1"/>
      <c r="H55" s="1"/>
      <c r="P55" s="2"/>
      <c r="Q55" s="2"/>
      <c r="R55" s="1"/>
      <c r="S55" s="1"/>
      <c r="T55" s="1"/>
      <c r="U55" s="1"/>
      <c r="V55" s="1"/>
      <c r="AA55" s="2"/>
      <c r="AB55" s="2"/>
      <c r="AC55" s="1"/>
      <c r="AD55" s="1"/>
      <c r="AE55" s="1"/>
      <c r="AF55" s="1"/>
      <c r="AG55" s="1"/>
      <c r="AL55" s="2"/>
      <c r="AM55" s="2"/>
      <c r="AN55" s="1"/>
      <c r="AO55" s="1"/>
      <c r="AP55" s="1"/>
      <c r="AQ55" s="1"/>
      <c r="AR55" s="1"/>
      <c r="AW55" s="2"/>
      <c r="AX55" s="2"/>
      <c r="AY55" s="1"/>
      <c r="AZ55" s="1"/>
      <c r="BA55" s="1"/>
      <c r="BB55" s="1"/>
      <c r="BC55" s="1"/>
      <c r="BH55" s="2"/>
      <c r="BI55" s="2"/>
      <c r="BJ55" s="1"/>
      <c r="BK55" s="1"/>
      <c r="BL55" s="1"/>
      <c r="BM55" s="1"/>
      <c r="BN55" s="1"/>
      <c r="BS55" s="2"/>
      <c r="BT55" s="2"/>
      <c r="BU55" s="1"/>
      <c r="BV55" s="1"/>
      <c r="BW55" s="1"/>
      <c r="BX55" s="1"/>
      <c r="BY55" s="1"/>
    </row>
    <row r="56" spans="3:77" ht="15" hidden="1" customHeight="1" x14ac:dyDescent="0.35">
      <c r="P56" s="2"/>
      <c r="Q56" s="2"/>
      <c r="R56" s="1"/>
      <c r="S56" s="1"/>
      <c r="T56" s="1"/>
      <c r="U56" s="1"/>
      <c r="V56" s="1"/>
      <c r="AA56" s="2"/>
      <c r="AB56" s="2"/>
      <c r="AC56" s="1"/>
      <c r="AD56" s="1"/>
      <c r="AE56" s="1"/>
      <c r="AF56" s="1"/>
      <c r="AG56" s="1"/>
      <c r="AL56" s="2"/>
      <c r="AM56" s="2"/>
      <c r="AN56" s="1"/>
      <c r="AO56" s="1"/>
      <c r="AP56" s="1"/>
      <c r="AQ56" s="1"/>
      <c r="AR56" s="1"/>
      <c r="AW56" s="2"/>
      <c r="AX56" s="2"/>
      <c r="AY56" s="1"/>
      <c r="AZ56" s="1"/>
      <c r="BA56" s="1"/>
      <c r="BB56" s="1"/>
      <c r="BC56" s="1"/>
      <c r="BH56" s="2"/>
      <c r="BI56" s="2"/>
      <c r="BJ56" s="1"/>
      <c r="BK56" s="1"/>
      <c r="BL56" s="1"/>
      <c r="BM56" s="1"/>
      <c r="BN56" s="1"/>
      <c r="BS56" s="2"/>
      <c r="BT56" s="2"/>
      <c r="BU56" s="1"/>
      <c r="BV56" s="1"/>
      <c r="BW56" s="1"/>
      <c r="BX56" s="1"/>
      <c r="BY56" s="1"/>
    </row>
    <row r="57" spans="3:77" ht="15.5" customHeight="1" x14ac:dyDescent="0.35"/>
    <row r="58" spans="3:77" ht="15.5" customHeight="1" x14ac:dyDescent="0.35"/>
    <row r="59" spans="3:77" ht="15.5" customHeight="1" x14ac:dyDescent="0.35"/>
    <row r="60" spans="3:77" ht="15.5" customHeight="1" x14ac:dyDescent="0.35"/>
    <row r="61" spans="3:77" ht="15.5" customHeight="1" x14ac:dyDescent="0.35"/>
    <row r="62" spans="3:77" ht="15.5" customHeight="1" x14ac:dyDescent="0.35"/>
    <row r="63" spans="3:77" ht="15.5" customHeight="1" x14ac:dyDescent="0.35"/>
    <row r="64" spans="3:77" ht="15.5" customHeight="1" x14ac:dyDescent="0.35"/>
    <row r="65" ht="15.5" customHeight="1" x14ac:dyDescent="0.35"/>
    <row r="66" ht="15.5" customHeight="1" x14ac:dyDescent="0.35"/>
    <row r="67" ht="15.5" customHeight="1" x14ac:dyDescent="0.35"/>
    <row r="68" ht="15.5" customHeight="1" x14ac:dyDescent="0.35"/>
    <row r="69" ht="15.5" customHeight="1" x14ac:dyDescent="0.35"/>
    <row r="70" ht="15.5" customHeight="1" x14ac:dyDescent="0.35"/>
    <row r="71" ht="15.5" customHeight="1" x14ac:dyDescent="0.35"/>
    <row r="72" ht="15.5" customHeight="1" x14ac:dyDescent="0.35"/>
    <row r="73" ht="15.5" customHeight="1" x14ac:dyDescent="0.35"/>
    <row r="74" ht="15.5" customHeight="1" x14ac:dyDescent="0.35"/>
    <row r="75" ht="15.5" customHeight="1" x14ac:dyDescent="0.35"/>
    <row r="76" ht="15.5" customHeight="1" x14ac:dyDescent="0.35"/>
    <row r="77" ht="15.5" customHeight="1" x14ac:dyDescent="0.35"/>
    <row r="78" ht="15.5" customHeight="1" x14ac:dyDescent="0.35"/>
    <row r="79" ht="15.5" customHeight="1" x14ac:dyDescent="0.35"/>
    <row r="80" ht="15.5" customHeight="1" x14ac:dyDescent="0.35"/>
    <row r="81" ht="15.5" customHeight="1" x14ac:dyDescent="0.35"/>
    <row r="82" ht="15.5" customHeight="1" x14ac:dyDescent="0.35"/>
    <row r="83" ht="15.5" customHeight="1" x14ac:dyDescent="0.35"/>
    <row r="84" ht="15.5" customHeight="1" x14ac:dyDescent="0.35"/>
    <row r="85" ht="15.5" customHeight="1" x14ac:dyDescent="0.35"/>
    <row r="86" ht="15.5" customHeight="1" x14ac:dyDescent="0.35"/>
    <row r="87" ht="15.5" customHeight="1" x14ac:dyDescent="0.35"/>
    <row r="88" ht="15.5" customHeight="1" x14ac:dyDescent="0.35"/>
    <row r="89" ht="15.5" customHeight="1" x14ac:dyDescent="0.35"/>
    <row r="90" ht="15.5" customHeight="1" x14ac:dyDescent="0.35"/>
    <row r="91" ht="15.5" customHeight="1" x14ac:dyDescent="0.35"/>
    <row r="92" ht="15.5" customHeight="1" x14ac:dyDescent="0.35"/>
    <row r="93" ht="15.5" customHeight="1" x14ac:dyDescent="0.35"/>
  </sheetData>
  <mergeCells count="65">
    <mergeCell ref="C33:H33"/>
    <mergeCell ref="J33:J34"/>
    <mergeCell ref="K33:K34"/>
    <mergeCell ref="N33:P33"/>
    <mergeCell ref="R33:R34"/>
    <mergeCell ref="BR10:BR11"/>
    <mergeCell ref="BS10:BS11"/>
    <mergeCell ref="BT10:BT11"/>
    <mergeCell ref="BU10:BU11"/>
    <mergeCell ref="BI10:BI11"/>
    <mergeCell ref="BJ10:BJ11"/>
    <mergeCell ref="BK10:BK11"/>
    <mergeCell ref="BM10:BM11"/>
    <mergeCell ref="BN10:BN11"/>
    <mergeCell ref="BQ10:BQ11"/>
    <mergeCell ref="BC10:BC11"/>
    <mergeCell ref="BH10:BH11"/>
    <mergeCell ref="AR10:AR11"/>
    <mergeCell ref="AU10:AU11"/>
    <mergeCell ref="AV10:AV11"/>
    <mergeCell ref="AW10:AW11"/>
    <mergeCell ref="AX10:AX11"/>
    <mergeCell ref="AY10:AY11"/>
    <mergeCell ref="BY10:BY11"/>
    <mergeCell ref="C21:H21"/>
    <mergeCell ref="J21:J22"/>
    <mergeCell ref="K21:K22"/>
    <mergeCell ref="BV10:BV11"/>
    <mergeCell ref="BX10:BX11"/>
    <mergeCell ref="AB10:AB11"/>
    <mergeCell ref="AC10:AC11"/>
    <mergeCell ref="AD10:AD11"/>
    <mergeCell ref="AF10:AF11"/>
    <mergeCell ref="AG10:AG11"/>
    <mergeCell ref="AJ10:AJ11"/>
    <mergeCell ref="BF10:BF11"/>
    <mergeCell ref="BG10:BG11"/>
    <mergeCell ref="AZ10:AZ11"/>
    <mergeCell ref="BB10:BB11"/>
    <mergeCell ref="AT9:AZ9"/>
    <mergeCell ref="BE9:BK9"/>
    <mergeCell ref="BP9:BV9"/>
    <mergeCell ref="N10:N11"/>
    <mergeCell ref="O10:O11"/>
    <mergeCell ref="P10:P11"/>
    <mergeCell ref="Q10:Q11"/>
    <mergeCell ref="R10:R11"/>
    <mergeCell ref="S10:S11"/>
    <mergeCell ref="U10:U11"/>
    <mergeCell ref="AK10:AK11"/>
    <mergeCell ref="AL10:AL11"/>
    <mergeCell ref="AM10:AM11"/>
    <mergeCell ref="AN10:AN11"/>
    <mergeCell ref="AO10:AO11"/>
    <mergeCell ref="AQ10:AQ11"/>
    <mergeCell ref="C9:H9"/>
    <mergeCell ref="J9:J10"/>
    <mergeCell ref="K9:K10"/>
    <mergeCell ref="M9:S9"/>
    <mergeCell ref="X9:AD9"/>
    <mergeCell ref="AI9:AO9"/>
    <mergeCell ref="V10:V11"/>
    <mergeCell ref="Y10:Y11"/>
    <mergeCell ref="Z10:Z11"/>
    <mergeCell ref="AA10:AA11"/>
  </mergeCells>
  <hyperlinks>
    <hyperlink ref="F3" location="Menu!A1" display="→Menu←" xr:uid="{B9307B2B-B975-4CE5-B064-B430F1A3D317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F132-ABA8-4834-BD61-6AA80844C348}">
  <sheetPr>
    <tabColor rgb="FF00B0F0"/>
  </sheetPr>
  <dimension ref="A1:Z42"/>
  <sheetViews>
    <sheetView showGridLines="0" zoomScale="55" zoomScaleNormal="55" workbookViewId="0">
      <pane ySplit="10" topLeftCell="A22" activePane="bottomLeft" state="frozen"/>
      <selection activeCell="E29" sqref="E29"/>
      <selection pane="bottomLeft" activeCell="E29" sqref="E29"/>
    </sheetView>
  </sheetViews>
  <sheetFormatPr defaultColWidth="0" defaultRowHeight="15.5" outlineLevelRow="1" x14ac:dyDescent="0.35"/>
  <cols>
    <col min="1" max="1" width="2.1796875" style="1" customWidth="1"/>
    <col min="2" max="2" width="52.81640625" style="1" customWidth="1"/>
    <col min="3" max="4" width="12" style="2" customWidth="1"/>
    <col min="5" max="5" width="12" style="170" customWidth="1"/>
    <col min="6" max="7" width="12" style="2" customWidth="1"/>
    <col min="8" max="8" width="12" style="170" customWidth="1"/>
    <col min="9" max="9" width="6.81640625" style="171" bestFit="1" customWidth="1"/>
    <col min="10" max="11" width="12.1796875" style="2" customWidth="1"/>
    <col min="12" max="12" width="5.81640625" style="171" customWidth="1"/>
    <col min="13" max="13" width="5.81640625" style="226" customWidth="1"/>
    <col min="14" max="14" width="4.6328125" style="1" customWidth="1"/>
    <col min="15" max="15" width="52.453125" style="2" customWidth="1"/>
    <col min="16" max="16" width="12" style="2" customWidth="1"/>
    <col min="17" max="17" width="12.1796875" style="170" customWidth="1"/>
    <col min="18" max="18" width="12" style="2" customWidth="1"/>
    <col min="19" max="19" width="5.54296875" style="1" customWidth="1"/>
    <col min="20" max="20" width="12.1796875" style="1" customWidth="1"/>
    <col min="21" max="21" width="8.81640625" style="1" customWidth="1"/>
    <col min="22" max="16384" width="8.81640625" style="1" hidden="1"/>
  </cols>
  <sheetData>
    <row r="1" spans="1:26" ht="7.5" customHeight="1" thickBot="1" x14ac:dyDescent="0.4">
      <c r="A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</row>
    <row r="2" spans="1:26" s="9" customFormat="1" ht="14" x14ac:dyDescent="0.3">
      <c r="A2" s="149"/>
      <c r="B2" s="150"/>
      <c r="C2" s="151"/>
      <c r="D2" s="151"/>
      <c r="E2" s="151"/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4"/>
    </row>
    <row r="3" spans="1:26" s="9" customFormat="1" ht="14" x14ac:dyDescent="0.3">
      <c r="A3" s="149"/>
      <c r="B3" s="155"/>
      <c r="C3" s="156" t="s">
        <v>0</v>
      </c>
      <c r="D3" s="157">
        <v>45291</v>
      </c>
      <c r="E3" s="156"/>
      <c r="F3" s="158" t="s">
        <v>1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9"/>
    </row>
    <row r="4" spans="1:26" s="9" customFormat="1" ht="14" x14ac:dyDescent="0.3">
      <c r="A4" s="149"/>
      <c r="B4" s="155"/>
      <c r="C4" s="156" t="s">
        <v>2</v>
      </c>
      <c r="D4" s="160" t="s">
        <v>403</v>
      </c>
      <c r="E4" s="161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9"/>
    </row>
    <row r="5" spans="1:26" s="9" customFormat="1" ht="16" thickBot="1" x14ac:dyDescent="0.4">
      <c r="A5" s="149"/>
      <c r="B5" s="162"/>
      <c r="C5" s="163"/>
      <c r="D5" s="163"/>
      <c r="E5" s="163"/>
      <c r="F5" s="164"/>
      <c r="G5" s="164"/>
      <c r="H5" s="164"/>
      <c r="I5" s="19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5"/>
    </row>
    <row r="6" spans="1:26" x14ac:dyDescent="0.35">
      <c r="A6" s="3"/>
      <c r="C6" s="166"/>
      <c r="D6" s="1"/>
      <c r="E6" s="1"/>
      <c r="F6" s="167"/>
      <c r="G6" s="1"/>
      <c r="H6" s="1"/>
      <c r="I6" s="1"/>
      <c r="J6" s="1"/>
      <c r="K6" s="1"/>
      <c r="L6" s="1"/>
      <c r="M6" s="1"/>
      <c r="O6" s="406" t="s">
        <v>3</v>
      </c>
      <c r="P6" s="406"/>
      <c r="Q6" s="406"/>
      <c r="R6" s="406"/>
      <c r="S6" s="406"/>
      <c r="T6" s="406"/>
    </row>
    <row r="7" spans="1:26" ht="15" customHeight="1" x14ac:dyDescent="0.35">
      <c r="B7" s="22" t="s">
        <v>4</v>
      </c>
      <c r="C7" s="168"/>
      <c r="D7" s="23"/>
      <c r="E7" s="23"/>
      <c r="F7" s="1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6" ht="16" thickBot="1" x14ac:dyDescent="0.4">
      <c r="M8" s="172"/>
      <c r="N8" s="173"/>
      <c r="S8" s="173"/>
      <c r="T8" s="173"/>
      <c r="U8" s="173"/>
    </row>
    <row r="9" spans="1:26" ht="18" customHeight="1" thickBot="1" x14ac:dyDescent="0.4">
      <c r="B9" s="27" t="s">
        <v>106</v>
      </c>
      <c r="C9" s="407" t="s">
        <v>34</v>
      </c>
      <c r="D9" s="408"/>
      <c r="E9" s="408"/>
      <c r="F9" s="408"/>
      <c r="G9" s="408"/>
      <c r="H9" s="408"/>
      <c r="I9" s="174"/>
      <c r="J9" s="174"/>
      <c r="K9" s="174"/>
      <c r="L9" s="174"/>
      <c r="M9" s="64"/>
      <c r="O9" s="27" t="s">
        <v>106</v>
      </c>
      <c r="P9" s="414" t="s">
        <v>34</v>
      </c>
      <c r="Q9" s="415"/>
      <c r="R9" s="416"/>
      <c r="S9" s="173"/>
      <c r="T9" s="173"/>
      <c r="U9" s="173"/>
    </row>
    <row r="10" spans="1:26" ht="18" customHeight="1" thickBot="1" x14ac:dyDescent="0.4">
      <c r="B10" s="175" t="s">
        <v>67</v>
      </c>
      <c r="C10" s="29" t="s">
        <v>403</v>
      </c>
      <c r="D10" s="34" t="s">
        <v>404</v>
      </c>
      <c r="E10" s="29" t="s">
        <v>8</v>
      </c>
      <c r="F10" s="29" t="s">
        <v>405</v>
      </c>
      <c r="G10" s="29" t="s">
        <v>406</v>
      </c>
      <c r="H10" s="29" t="s">
        <v>8</v>
      </c>
      <c r="I10" s="174"/>
      <c r="J10" s="34" t="s">
        <v>10</v>
      </c>
      <c r="K10" s="34" t="s">
        <v>11</v>
      </c>
      <c r="L10" s="174"/>
      <c r="M10" s="64"/>
      <c r="O10" s="175" t="s">
        <v>67</v>
      </c>
      <c r="P10" s="29" t="s">
        <v>403</v>
      </c>
      <c r="Q10" s="34" t="s">
        <v>407</v>
      </c>
      <c r="R10" s="29" t="s">
        <v>8</v>
      </c>
      <c r="S10" s="173"/>
      <c r="T10" s="34" t="s">
        <v>10</v>
      </c>
      <c r="U10" s="173"/>
    </row>
    <row r="11" spans="1:26" ht="21" customHeight="1" thickBot="1" x14ac:dyDescent="0.4">
      <c r="B11" s="176" t="s">
        <v>69</v>
      </c>
      <c r="C11" s="177">
        <v>1272147</v>
      </c>
      <c r="D11" s="177">
        <v>1072375</v>
      </c>
      <c r="E11" s="178">
        <f t="shared" ref="E11:E41" si="0">IF(OR(AND(D11&gt;0,C11&lt;0),AND(D11&lt;0,C11&gt;0)),"n.a",IFERROR(C11/D11-1,"N.A."))</f>
        <v>0.18628931110852087</v>
      </c>
      <c r="F11" s="177">
        <v>4587318</v>
      </c>
      <c r="G11" s="177">
        <v>3916406</v>
      </c>
      <c r="H11" s="178">
        <f t="shared" ref="H11:H40" si="1">IF(OR(AND(G11&gt;0,F11&lt;0),AND(G11&lt;0,F11&gt;0)),"n.a",IFERROR(F11/G11-1,"N.A."))</f>
        <v>0.17130808195064562</v>
      </c>
      <c r="I11" s="179"/>
      <c r="J11" s="177">
        <f>C11-D11</f>
        <v>199772</v>
      </c>
      <c r="K11" s="177">
        <f>F11-G11</f>
        <v>670912</v>
      </c>
      <c r="L11" s="179"/>
      <c r="M11" s="64"/>
      <c r="N11" s="180"/>
      <c r="O11" s="176" t="str">
        <f>B11</f>
        <v>Receita Operacional Bruta</v>
      </c>
      <c r="P11" s="177">
        <f>C11</f>
        <v>1272147</v>
      </c>
      <c r="Q11" s="177">
        <v>1251718</v>
      </c>
      <c r="R11" s="178">
        <f t="shared" ref="R11:R40" si="2">IF(OR(AND(Q11&gt;0,P11&lt;0),AND(Q11&lt;0,P11&gt;0)),"n.a",IFERROR(P11/Q11-1,"N.A."))</f>
        <v>1.6320768735450075E-2</v>
      </c>
      <c r="S11" s="173"/>
      <c r="T11" s="177">
        <f>P11-Q11</f>
        <v>20429</v>
      </c>
      <c r="U11" s="173"/>
      <c r="V11" s="181"/>
      <c r="W11" s="181"/>
      <c r="X11" s="181"/>
      <c r="Y11" s="181"/>
      <c r="Z11" s="181"/>
    </row>
    <row r="12" spans="1:26" ht="21" customHeight="1" outlineLevel="1" x14ac:dyDescent="0.35">
      <c r="B12" s="182" t="s">
        <v>107</v>
      </c>
      <c r="C12" s="183">
        <v>1257910</v>
      </c>
      <c r="D12" s="183">
        <v>1062857</v>
      </c>
      <c r="E12" s="184">
        <f t="shared" si="0"/>
        <v>0.18351763219323014</v>
      </c>
      <c r="F12" s="183">
        <v>4539861</v>
      </c>
      <c r="G12" s="183">
        <v>3883390</v>
      </c>
      <c r="H12" s="184">
        <f t="shared" si="1"/>
        <v>0.16904585941664374</v>
      </c>
      <c r="I12" s="185"/>
      <c r="J12" s="183">
        <f t="shared" ref="J12:J40" si="3">C12-D12</f>
        <v>195053</v>
      </c>
      <c r="K12" s="183">
        <f t="shared" ref="K12:K40" si="4">F12-G12</f>
        <v>656471</v>
      </c>
      <c r="L12" s="185"/>
      <c r="M12" s="64"/>
      <c r="N12" s="186"/>
      <c r="O12" s="182" t="str">
        <f t="shared" ref="O12:P40" si="5">B12</f>
        <v xml:space="preserve"> Receita de Uso da Rede Elétrica </v>
      </c>
      <c r="P12" s="183">
        <f t="shared" si="5"/>
        <v>1257910</v>
      </c>
      <c r="Q12" s="183">
        <v>1239253</v>
      </c>
      <c r="R12" s="184">
        <f t="shared" si="2"/>
        <v>1.5055037187725162E-2</v>
      </c>
      <c r="S12" s="173"/>
      <c r="T12" s="183">
        <f t="shared" ref="T12:T40" si="6">P12-Q12</f>
        <v>18657</v>
      </c>
      <c r="U12" s="173"/>
      <c r="V12" s="181"/>
      <c r="W12" s="181"/>
      <c r="X12" s="181"/>
      <c r="Y12" s="181"/>
      <c r="Z12" s="181"/>
    </row>
    <row r="13" spans="1:26" ht="21" customHeight="1" outlineLevel="1" thickBot="1" x14ac:dyDescent="0.4">
      <c r="B13" s="182" t="s">
        <v>108</v>
      </c>
      <c r="C13" s="183">
        <v>14237</v>
      </c>
      <c r="D13" s="183">
        <v>9518</v>
      </c>
      <c r="E13" s="184">
        <f t="shared" si="0"/>
        <v>0.49579743643622609</v>
      </c>
      <c r="F13" s="183">
        <v>47457</v>
      </c>
      <c r="G13" s="183">
        <v>33016</v>
      </c>
      <c r="H13" s="184">
        <f t="shared" si="1"/>
        <v>0.4373939907923432</v>
      </c>
      <c r="I13" s="185"/>
      <c r="J13" s="183">
        <f t="shared" si="3"/>
        <v>4719</v>
      </c>
      <c r="K13" s="183">
        <f t="shared" si="4"/>
        <v>14441</v>
      </c>
      <c r="L13" s="185"/>
      <c r="M13" s="64"/>
      <c r="N13" s="186"/>
      <c r="O13" s="182" t="str">
        <f t="shared" si="5"/>
        <v xml:space="preserve"> Outras </v>
      </c>
      <c r="P13" s="183">
        <f t="shared" si="5"/>
        <v>14237</v>
      </c>
      <c r="Q13" s="183">
        <v>12465</v>
      </c>
      <c r="R13" s="184">
        <f t="shared" si="2"/>
        <v>0.1421580425190534</v>
      </c>
      <c r="S13" s="173"/>
      <c r="T13" s="183">
        <f t="shared" si="6"/>
        <v>1772</v>
      </c>
      <c r="U13" s="173"/>
      <c r="V13" s="181"/>
      <c r="W13" s="181"/>
      <c r="X13" s="181"/>
      <c r="Y13" s="181"/>
      <c r="Z13" s="181"/>
    </row>
    <row r="14" spans="1:26" ht="21" customHeight="1" thickBot="1" x14ac:dyDescent="0.4">
      <c r="B14" s="187" t="s">
        <v>109</v>
      </c>
      <c r="C14" s="188">
        <f>SUM(C15:C16)</f>
        <v>-162550</v>
      </c>
      <c r="D14" s="188">
        <f>SUM(D15:D16)</f>
        <v>-181184</v>
      </c>
      <c r="E14" s="189">
        <f t="shared" si="0"/>
        <v>-0.10284572589191099</v>
      </c>
      <c r="F14" s="188">
        <f>SUM(F15:F16)</f>
        <v>-601932</v>
      </c>
      <c r="G14" s="188">
        <f>SUM(G15:G16)</f>
        <v>-657655</v>
      </c>
      <c r="H14" s="189">
        <f t="shared" si="1"/>
        <v>-8.4729835552075139E-2</v>
      </c>
      <c r="I14" s="179"/>
      <c r="J14" s="188">
        <f t="shared" si="3"/>
        <v>18634</v>
      </c>
      <c r="K14" s="188">
        <f t="shared" si="4"/>
        <v>55723</v>
      </c>
      <c r="L14" s="179"/>
      <c r="M14" s="64"/>
      <c r="N14" s="180"/>
      <c r="O14" s="187" t="str">
        <f t="shared" si="5"/>
        <v>(-) Deduções à Receita Operacional</v>
      </c>
      <c r="P14" s="188">
        <f t="shared" si="5"/>
        <v>-162550</v>
      </c>
      <c r="Q14" s="188">
        <v>-159260</v>
      </c>
      <c r="R14" s="189">
        <f t="shared" si="2"/>
        <v>2.0658043450960673E-2</v>
      </c>
      <c r="S14" s="173"/>
      <c r="T14" s="188">
        <f t="shared" si="6"/>
        <v>-3290</v>
      </c>
      <c r="U14" s="173"/>
      <c r="V14" s="181"/>
      <c r="W14" s="181"/>
      <c r="X14" s="181"/>
      <c r="Y14" s="181"/>
      <c r="Z14" s="181"/>
    </row>
    <row r="15" spans="1:26" ht="21" customHeight="1" outlineLevel="1" x14ac:dyDescent="0.35">
      <c r="B15" s="182" t="s">
        <v>110</v>
      </c>
      <c r="C15" s="183">
        <v>-113832</v>
      </c>
      <c r="D15" s="183">
        <v>-93653</v>
      </c>
      <c r="E15" s="184">
        <f t="shared" si="0"/>
        <v>0.2154656017426031</v>
      </c>
      <c r="F15" s="183">
        <v>-400362</v>
      </c>
      <c r="G15" s="183">
        <v>-338144</v>
      </c>
      <c r="H15" s="184">
        <f t="shared" si="1"/>
        <v>0.18399853316930059</v>
      </c>
      <c r="I15" s="179"/>
      <c r="J15" s="183">
        <f t="shared" si="3"/>
        <v>-20179</v>
      </c>
      <c r="K15" s="183">
        <f t="shared" si="4"/>
        <v>-62218</v>
      </c>
      <c r="L15" s="179"/>
      <c r="M15" s="64"/>
      <c r="N15" s="180"/>
      <c r="O15" s="182" t="str">
        <f t="shared" si="5"/>
        <v>Tributos e Contribuições sobre a Receita</v>
      </c>
      <c r="P15" s="183">
        <f t="shared" si="5"/>
        <v>-113832</v>
      </c>
      <c r="Q15" s="183">
        <v>-108556</v>
      </c>
      <c r="R15" s="184">
        <f t="shared" si="2"/>
        <v>4.8601643391429361E-2</v>
      </c>
      <c r="S15" s="173"/>
      <c r="T15" s="183">
        <f t="shared" si="6"/>
        <v>-5276</v>
      </c>
      <c r="U15" s="173"/>
      <c r="V15" s="181"/>
      <c r="W15" s="181"/>
      <c r="X15" s="181"/>
      <c r="Y15" s="181"/>
      <c r="Z15" s="181"/>
    </row>
    <row r="16" spans="1:26" ht="21" customHeight="1" outlineLevel="1" thickBot="1" x14ac:dyDescent="0.4">
      <c r="B16" s="182" t="s">
        <v>30</v>
      </c>
      <c r="C16" s="183">
        <v>-48718</v>
      </c>
      <c r="D16" s="183">
        <v>-87531</v>
      </c>
      <c r="E16" s="184">
        <f t="shared" si="0"/>
        <v>-0.44342004546960501</v>
      </c>
      <c r="F16" s="183">
        <v>-201570</v>
      </c>
      <c r="G16" s="183">
        <v>-319511</v>
      </c>
      <c r="H16" s="184">
        <f t="shared" si="1"/>
        <v>-0.36912970132483702</v>
      </c>
      <c r="I16" s="179"/>
      <c r="J16" s="183">
        <f t="shared" si="3"/>
        <v>38813</v>
      </c>
      <c r="K16" s="183">
        <f t="shared" si="4"/>
        <v>117941</v>
      </c>
      <c r="L16" s="179"/>
      <c r="M16" s="64"/>
      <c r="N16" s="180"/>
      <c r="O16" s="182" t="str">
        <f t="shared" si="5"/>
        <v>Encargos Regulatórios</v>
      </c>
      <c r="P16" s="183">
        <f t="shared" si="5"/>
        <v>-48718</v>
      </c>
      <c r="Q16" s="183">
        <v>-50704</v>
      </c>
      <c r="R16" s="184">
        <f t="shared" si="2"/>
        <v>-3.9168507415588527E-2</v>
      </c>
      <c r="S16" s="173"/>
      <c r="T16" s="183">
        <f t="shared" si="6"/>
        <v>1986</v>
      </c>
      <c r="U16" s="173"/>
      <c r="V16" s="181"/>
      <c r="W16" s="181"/>
      <c r="X16" s="181"/>
      <c r="Y16" s="181"/>
      <c r="Z16" s="181"/>
    </row>
    <row r="17" spans="2:26" ht="21" customHeight="1" thickBot="1" x14ac:dyDescent="0.4">
      <c r="B17" s="176" t="s">
        <v>111</v>
      </c>
      <c r="C17" s="177">
        <v>1109597</v>
      </c>
      <c r="D17" s="177">
        <v>891191</v>
      </c>
      <c r="E17" s="178">
        <f t="shared" si="0"/>
        <v>0.24507204403994209</v>
      </c>
      <c r="F17" s="177">
        <v>3985386</v>
      </c>
      <c r="G17" s="177">
        <v>3258751</v>
      </c>
      <c r="H17" s="178">
        <f t="shared" si="1"/>
        <v>0.22297960169402331</v>
      </c>
      <c r="I17" s="179"/>
      <c r="J17" s="177">
        <f t="shared" si="3"/>
        <v>218406</v>
      </c>
      <c r="K17" s="177">
        <f t="shared" si="4"/>
        <v>726635</v>
      </c>
      <c r="L17" s="179"/>
      <c r="M17" s="64"/>
      <c r="N17" s="180"/>
      <c r="O17" s="176" t="str">
        <f t="shared" si="5"/>
        <v>(=) Receita Operacional Líquida</v>
      </c>
      <c r="P17" s="177">
        <f t="shared" si="5"/>
        <v>1109597</v>
      </c>
      <c r="Q17" s="177">
        <v>1092458</v>
      </c>
      <c r="R17" s="178">
        <f t="shared" si="2"/>
        <v>1.5688474980273925E-2</v>
      </c>
      <c r="S17" s="173"/>
      <c r="T17" s="177">
        <f t="shared" si="6"/>
        <v>17139</v>
      </c>
      <c r="U17" s="173"/>
      <c r="V17" s="181"/>
      <c r="W17" s="181"/>
      <c r="X17" s="181"/>
      <c r="Y17" s="181"/>
      <c r="Z17" s="181"/>
    </row>
    <row r="18" spans="2:26" ht="21" customHeight="1" thickBot="1" x14ac:dyDescent="0.4">
      <c r="B18" s="190" t="s">
        <v>112</v>
      </c>
      <c r="C18" s="191">
        <f>SUM(C19:C23)</f>
        <v>-400872</v>
      </c>
      <c r="D18" s="191">
        <f>SUM(D19:D23)</f>
        <v>-391330</v>
      </c>
      <c r="E18" s="192">
        <f t="shared" si="0"/>
        <v>2.4383512636393823E-2</v>
      </c>
      <c r="F18" s="191">
        <f>SUM(F19:F23)</f>
        <v>-1424907</v>
      </c>
      <c r="G18" s="191">
        <f>SUM(G19:G23)</f>
        <v>-1328810</v>
      </c>
      <c r="H18" s="192">
        <f t="shared" si="1"/>
        <v>7.2318089117330508E-2</v>
      </c>
      <c r="I18" s="179"/>
      <c r="J18" s="191">
        <f t="shared" si="3"/>
        <v>-9542</v>
      </c>
      <c r="K18" s="191">
        <f t="shared" si="4"/>
        <v>-96097</v>
      </c>
      <c r="L18" s="179"/>
      <c r="M18" s="64"/>
      <c r="N18" s="180"/>
      <c r="O18" s="190" t="str">
        <f t="shared" si="5"/>
        <v>(-) Custos e Despesas Operacionais</v>
      </c>
      <c r="P18" s="191">
        <f t="shared" si="5"/>
        <v>-400872</v>
      </c>
      <c r="Q18" s="191">
        <v>-351666</v>
      </c>
      <c r="R18" s="192">
        <f t="shared" si="2"/>
        <v>0.13992254013751682</v>
      </c>
      <c r="S18" s="173"/>
      <c r="T18" s="191">
        <f t="shared" si="6"/>
        <v>-49206</v>
      </c>
      <c r="U18" s="173"/>
      <c r="V18" s="181"/>
      <c r="W18" s="181"/>
      <c r="X18" s="181"/>
      <c r="Y18" s="181"/>
      <c r="Z18" s="181"/>
    </row>
    <row r="19" spans="2:26" ht="21" customHeight="1" outlineLevel="1" x14ac:dyDescent="0.35">
      <c r="B19" s="182" t="s">
        <v>39</v>
      </c>
      <c r="C19" s="183">
        <v>-112896</v>
      </c>
      <c r="D19" s="183">
        <v>-117725</v>
      </c>
      <c r="E19" s="184">
        <f t="shared" si="0"/>
        <v>-4.1019324697388004E-2</v>
      </c>
      <c r="F19" s="183">
        <v>-409775</v>
      </c>
      <c r="G19" s="183">
        <v>-405488</v>
      </c>
      <c r="H19" s="184">
        <f t="shared" si="1"/>
        <v>1.05724460403267E-2</v>
      </c>
      <c r="I19" s="193"/>
      <c r="J19" s="183">
        <f t="shared" si="3"/>
        <v>4829</v>
      </c>
      <c r="K19" s="183">
        <f t="shared" si="4"/>
        <v>-4287</v>
      </c>
      <c r="L19" s="193"/>
      <c r="M19" s="64"/>
      <c r="N19" s="180"/>
      <c r="O19" s="182" t="str">
        <f t="shared" si="5"/>
        <v>Pessoal</v>
      </c>
      <c r="P19" s="183">
        <f t="shared" si="5"/>
        <v>-112896</v>
      </c>
      <c r="Q19" s="183">
        <v>-102278</v>
      </c>
      <c r="R19" s="184">
        <f t="shared" si="2"/>
        <v>0.10381509219969098</v>
      </c>
      <c r="S19" s="173"/>
      <c r="T19" s="183">
        <f t="shared" si="6"/>
        <v>-10618</v>
      </c>
      <c r="U19" s="173"/>
      <c r="V19" s="181"/>
      <c r="W19" s="181"/>
      <c r="X19" s="181"/>
      <c r="Y19" s="181"/>
      <c r="Z19" s="181"/>
    </row>
    <row r="20" spans="2:26" ht="21" customHeight="1" outlineLevel="1" x14ac:dyDescent="0.35">
      <c r="B20" s="182" t="s">
        <v>50</v>
      </c>
      <c r="C20" s="183">
        <v>-8530</v>
      </c>
      <c r="D20" s="183">
        <v>-8377</v>
      </c>
      <c r="E20" s="184">
        <f t="shared" si="0"/>
        <v>1.826429509370886E-2</v>
      </c>
      <c r="F20" s="183">
        <v>-25670</v>
      </c>
      <c r="G20" s="183">
        <v>-23623</v>
      </c>
      <c r="H20" s="184">
        <f t="shared" si="1"/>
        <v>8.665283833552051E-2</v>
      </c>
      <c r="I20" s="193"/>
      <c r="J20" s="183">
        <f t="shared" si="3"/>
        <v>-153</v>
      </c>
      <c r="K20" s="183">
        <f t="shared" si="4"/>
        <v>-2047</v>
      </c>
      <c r="L20" s="193"/>
      <c r="M20" s="64"/>
      <c r="N20" s="180"/>
      <c r="O20" s="182" t="str">
        <f t="shared" si="5"/>
        <v>Material</v>
      </c>
      <c r="P20" s="183">
        <f t="shared" si="5"/>
        <v>-8530</v>
      </c>
      <c r="Q20" s="183">
        <v>-5979</v>
      </c>
      <c r="R20" s="184">
        <f t="shared" si="2"/>
        <v>0.42665997658471322</v>
      </c>
      <c r="S20" s="173"/>
      <c r="T20" s="183">
        <f t="shared" si="6"/>
        <v>-2551</v>
      </c>
      <c r="U20" s="173"/>
      <c r="V20" s="181"/>
      <c r="W20" s="181"/>
      <c r="X20" s="181"/>
      <c r="Y20" s="181"/>
      <c r="Z20" s="181"/>
    </row>
    <row r="21" spans="2:26" ht="21" customHeight="1" outlineLevel="1" x14ac:dyDescent="0.35">
      <c r="B21" s="182" t="s">
        <v>113</v>
      </c>
      <c r="C21" s="183">
        <v>-78372</v>
      </c>
      <c r="D21" s="183">
        <v>-72721</v>
      </c>
      <c r="E21" s="184">
        <f t="shared" si="0"/>
        <v>7.7707952310886785E-2</v>
      </c>
      <c r="F21" s="183">
        <v>-221979</v>
      </c>
      <c r="G21" s="183">
        <v>-190967</v>
      </c>
      <c r="H21" s="184">
        <f t="shared" si="1"/>
        <v>0.16239454984369028</v>
      </c>
      <c r="I21" s="193"/>
      <c r="J21" s="183">
        <f t="shared" si="3"/>
        <v>-5651</v>
      </c>
      <c r="K21" s="183">
        <f t="shared" si="4"/>
        <v>-31012</v>
      </c>
      <c r="L21" s="193"/>
      <c r="M21" s="64"/>
      <c r="N21" s="180"/>
      <c r="O21" s="182" t="str">
        <f t="shared" si="5"/>
        <v>Serviços</v>
      </c>
      <c r="P21" s="183">
        <f t="shared" si="5"/>
        <v>-78372</v>
      </c>
      <c r="Q21" s="183">
        <v>-55311</v>
      </c>
      <c r="R21" s="184">
        <f t="shared" si="2"/>
        <v>0.41693334056516784</v>
      </c>
      <c r="S21" s="173"/>
      <c r="T21" s="183">
        <f t="shared" si="6"/>
        <v>-23061</v>
      </c>
      <c r="U21" s="173"/>
      <c r="V21" s="181"/>
      <c r="W21" s="181"/>
      <c r="X21" s="181"/>
      <c r="Y21" s="181"/>
      <c r="Z21" s="181"/>
    </row>
    <row r="22" spans="2:26" ht="21" customHeight="1" outlineLevel="1" x14ac:dyDescent="0.35">
      <c r="B22" s="182" t="s">
        <v>47</v>
      </c>
      <c r="C22" s="183">
        <v>-169831</v>
      </c>
      <c r="D22" s="183">
        <v>-162450</v>
      </c>
      <c r="E22" s="184">
        <f t="shared" si="0"/>
        <v>4.5435518621114168E-2</v>
      </c>
      <c r="F22" s="183">
        <v>-668045</v>
      </c>
      <c r="G22" s="183">
        <v>-620693</v>
      </c>
      <c r="H22" s="184">
        <f t="shared" si="1"/>
        <v>7.6288922220808075E-2</v>
      </c>
      <c r="I22" s="193"/>
      <c r="J22" s="183">
        <f t="shared" si="3"/>
        <v>-7381</v>
      </c>
      <c r="K22" s="183">
        <f t="shared" si="4"/>
        <v>-47352</v>
      </c>
      <c r="L22" s="193"/>
      <c r="M22" s="64"/>
      <c r="N22" s="180"/>
      <c r="O22" s="182" t="str">
        <f t="shared" si="5"/>
        <v>Depreciação</v>
      </c>
      <c r="P22" s="183">
        <f t="shared" si="5"/>
        <v>-169831</v>
      </c>
      <c r="Q22" s="183">
        <v>-168885</v>
      </c>
      <c r="R22" s="184">
        <f t="shared" si="2"/>
        <v>5.6014447701098202E-3</v>
      </c>
      <c r="S22" s="173"/>
      <c r="T22" s="183">
        <f t="shared" si="6"/>
        <v>-946</v>
      </c>
      <c r="U22" s="173"/>
      <c r="V22" s="181"/>
      <c r="W22" s="181"/>
      <c r="X22" s="181"/>
      <c r="Y22" s="181"/>
      <c r="Z22" s="181"/>
    </row>
    <row r="23" spans="2:26" ht="21" customHeight="1" outlineLevel="1" thickBot="1" x14ac:dyDescent="0.4">
      <c r="B23" s="182" t="s">
        <v>42</v>
      </c>
      <c r="C23" s="183">
        <v>-31243</v>
      </c>
      <c r="D23" s="183">
        <v>-30057</v>
      </c>
      <c r="E23" s="184">
        <f t="shared" si="0"/>
        <v>3.9458362444688477E-2</v>
      </c>
      <c r="F23" s="183">
        <v>-99438</v>
      </c>
      <c r="G23" s="183">
        <v>-88039</v>
      </c>
      <c r="H23" s="184">
        <f t="shared" si="1"/>
        <v>0.12947670918570187</v>
      </c>
      <c r="I23" s="193"/>
      <c r="J23" s="183">
        <f t="shared" si="3"/>
        <v>-1186</v>
      </c>
      <c r="K23" s="183">
        <f t="shared" si="4"/>
        <v>-11399</v>
      </c>
      <c r="L23" s="193"/>
      <c r="M23" s="64"/>
      <c r="N23" s="180"/>
      <c r="O23" s="182" t="str">
        <f t="shared" si="5"/>
        <v>Outros</v>
      </c>
      <c r="P23" s="183">
        <f t="shared" si="5"/>
        <v>-31243</v>
      </c>
      <c r="Q23" s="183">
        <v>-19213</v>
      </c>
      <c r="R23" s="184">
        <f t="shared" si="2"/>
        <v>0.62613855202206836</v>
      </c>
      <c r="S23" s="173"/>
      <c r="T23" s="183">
        <f t="shared" si="6"/>
        <v>-12030</v>
      </c>
      <c r="U23" s="173"/>
      <c r="V23" s="181"/>
      <c r="W23" s="181"/>
      <c r="X23" s="181"/>
      <c r="Y23" s="181"/>
      <c r="Z23" s="181"/>
    </row>
    <row r="24" spans="2:26" ht="21" customHeight="1" thickBot="1" x14ac:dyDescent="0.4">
      <c r="B24" s="176" t="s">
        <v>114</v>
      </c>
      <c r="C24" s="177">
        <f>C17+C18</f>
        <v>708725</v>
      </c>
      <c r="D24" s="177">
        <f>D17+D18</f>
        <v>499861</v>
      </c>
      <c r="E24" s="178">
        <f t="shared" si="0"/>
        <v>0.41784416067666807</v>
      </c>
      <c r="F24" s="177">
        <f>F17+F18</f>
        <v>2560479</v>
      </c>
      <c r="G24" s="177">
        <f>G17+G18</f>
        <v>1929941</v>
      </c>
      <c r="H24" s="178">
        <f t="shared" si="1"/>
        <v>0.32671361456127412</v>
      </c>
      <c r="I24" s="179"/>
      <c r="J24" s="177">
        <f t="shared" si="3"/>
        <v>208864</v>
      </c>
      <c r="K24" s="177">
        <f t="shared" si="4"/>
        <v>630538</v>
      </c>
      <c r="L24" s="179"/>
      <c r="M24" s="64"/>
      <c r="N24" s="180"/>
      <c r="O24" s="176" t="str">
        <f t="shared" si="5"/>
        <v>(=) Resultado do Serviço</v>
      </c>
      <c r="P24" s="177">
        <f t="shared" si="5"/>
        <v>708725</v>
      </c>
      <c r="Q24" s="177">
        <v>740792</v>
      </c>
      <c r="R24" s="178">
        <f t="shared" si="2"/>
        <v>-4.3287454508148082E-2</v>
      </c>
      <c r="S24" s="173"/>
      <c r="T24" s="177">
        <f t="shared" si="6"/>
        <v>-32067</v>
      </c>
      <c r="U24" s="173"/>
      <c r="V24" s="181"/>
      <c r="W24" s="181"/>
      <c r="X24" s="181"/>
      <c r="Y24" s="181"/>
      <c r="Z24" s="181"/>
    </row>
    <row r="25" spans="2:26" ht="21" customHeight="1" thickBot="1" x14ac:dyDescent="0.4">
      <c r="B25" s="194" t="s">
        <v>115</v>
      </c>
      <c r="C25" s="195">
        <f>SUM(C26:C30)</f>
        <v>-180532</v>
      </c>
      <c r="D25" s="195">
        <f>SUM(D26:D30)</f>
        <v>-155004</v>
      </c>
      <c r="E25" s="196">
        <f t="shared" si="0"/>
        <v>0.16469252406389523</v>
      </c>
      <c r="F25" s="195">
        <f>SUM(F26:F30)</f>
        <v>-821259</v>
      </c>
      <c r="G25" s="195">
        <f>SUM(G26:G30)</f>
        <v>-813552</v>
      </c>
      <c r="H25" s="196">
        <f t="shared" si="1"/>
        <v>9.4732727594548649E-3</v>
      </c>
      <c r="I25" s="179"/>
      <c r="J25" s="195">
        <f t="shared" si="3"/>
        <v>-25528</v>
      </c>
      <c r="K25" s="195">
        <f t="shared" si="4"/>
        <v>-7707</v>
      </c>
      <c r="L25" s="179"/>
      <c r="M25" s="64"/>
      <c r="N25" s="180"/>
      <c r="O25" s="194" t="str">
        <f t="shared" si="5"/>
        <v>(+/-) Resultado Financeiro</v>
      </c>
      <c r="P25" s="195">
        <f t="shared" si="5"/>
        <v>-180532</v>
      </c>
      <c r="Q25" s="195">
        <v>-149410</v>
      </c>
      <c r="R25" s="196">
        <f t="shared" si="2"/>
        <v>0.20829931062177898</v>
      </c>
      <c r="S25" s="173"/>
      <c r="T25" s="195">
        <f t="shared" si="6"/>
        <v>-31122</v>
      </c>
      <c r="U25" s="173"/>
      <c r="V25" s="181"/>
      <c r="W25" s="181"/>
      <c r="X25" s="181"/>
      <c r="Y25" s="181"/>
      <c r="Z25" s="181"/>
    </row>
    <row r="26" spans="2:26" ht="21" customHeight="1" outlineLevel="1" x14ac:dyDescent="0.35">
      <c r="B26" s="182" t="s">
        <v>116</v>
      </c>
      <c r="C26" s="183">
        <v>71988</v>
      </c>
      <c r="D26" s="183">
        <v>46619</v>
      </c>
      <c r="E26" s="184">
        <f t="shared" si="0"/>
        <v>0.54417726677963918</v>
      </c>
      <c r="F26" s="183">
        <v>201571</v>
      </c>
      <c r="G26" s="183">
        <v>147858</v>
      </c>
      <c r="H26" s="184">
        <f t="shared" si="1"/>
        <v>0.36327422256489328</v>
      </c>
      <c r="I26" s="197"/>
      <c r="J26" s="183">
        <f t="shared" si="3"/>
        <v>25369</v>
      </c>
      <c r="K26" s="183">
        <f t="shared" si="4"/>
        <v>53713</v>
      </c>
      <c r="L26" s="197"/>
      <c r="M26" s="64"/>
      <c r="N26" s="198"/>
      <c r="O26" s="182" t="str">
        <f t="shared" si="5"/>
        <v>Rendimento de Aplicações Financeiras</v>
      </c>
      <c r="P26" s="183">
        <f t="shared" si="5"/>
        <v>71988</v>
      </c>
      <c r="Q26" s="183">
        <v>54343</v>
      </c>
      <c r="R26" s="184">
        <f t="shared" si="2"/>
        <v>0.32469683307877739</v>
      </c>
      <c r="S26" s="173"/>
      <c r="T26" s="183">
        <f t="shared" si="6"/>
        <v>17645</v>
      </c>
      <c r="U26" s="173"/>
      <c r="V26" s="181"/>
      <c r="W26" s="181"/>
      <c r="X26" s="181"/>
      <c r="Y26" s="181"/>
      <c r="Z26" s="181"/>
    </row>
    <row r="27" spans="2:26" ht="21" customHeight="1" outlineLevel="1" x14ac:dyDescent="0.35">
      <c r="B27" s="182" t="s">
        <v>117</v>
      </c>
      <c r="C27" s="183">
        <v>-40446</v>
      </c>
      <c r="D27" s="183">
        <v>-32067</v>
      </c>
      <c r="E27" s="184">
        <f t="shared" si="0"/>
        <v>0.26129666011787811</v>
      </c>
      <c r="F27" s="183">
        <v>-246432</v>
      </c>
      <c r="G27" s="183">
        <v>-291486</v>
      </c>
      <c r="H27" s="184">
        <f t="shared" si="1"/>
        <v>-0.15456660011115453</v>
      </c>
      <c r="I27" s="193"/>
      <c r="J27" s="183">
        <f t="shared" si="3"/>
        <v>-8379</v>
      </c>
      <c r="K27" s="183">
        <f t="shared" si="4"/>
        <v>45054</v>
      </c>
      <c r="L27" s="193"/>
      <c r="M27" s="64"/>
      <c r="N27" s="180"/>
      <c r="O27" s="182" t="str">
        <f t="shared" si="5"/>
        <v>Resultado da Variação Monetária Líquida</v>
      </c>
      <c r="P27" s="183">
        <f t="shared" si="5"/>
        <v>-40446</v>
      </c>
      <c r="Q27" s="183">
        <v>-16519</v>
      </c>
      <c r="R27" s="184">
        <f t="shared" si="2"/>
        <v>1.4484532962043706</v>
      </c>
      <c r="S27" s="173"/>
      <c r="T27" s="183">
        <f t="shared" si="6"/>
        <v>-23927</v>
      </c>
      <c r="U27" s="173"/>
      <c r="V27" s="181"/>
      <c r="W27" s="181"/>
      <c r="X27" s="181"/>
      <c r="Y27" s="181"/>
      <c r="Z27" s="181"/>
    </row>
    <row r="28" spans="2:26" ht="21" customHeight="1" outlineLevel="1" x14ac:dyDescent="0.35">
      <c r="B28" s="182" t="s">
        <v>118</v>
      </c>
      <c r="C28" s="183">
        <v>-82</v>
      </c>
      <c r="D28" s="183">
        <v>-76</v>
      </c>
      <c r="E28" s="184">
        <f t="shared" si="0"/>
        <v>7.8947368421052655E-2</v>
      </c>
      <c r="F28" s="183">
        <v>-477</v>
      </c>
      <c r="G28" s="183">
        <v>-234</v>
      </c>
      <c r="H28" s="184">
        <f t="shared" si="1"/>
        <v>1.0384615384615383</v>
      </c>
      <c r="I28" s="193"/>
      <c r="J28" s="183">
        <f t="shared" si="3"/>
        <v>-6</v>
      </c>
      <c r="K28" s="183">
        <f t="shared" si="4"/>
        <v>-243</v>
      </c>
      <c r="L28" s="193"/>
      <c r="M28" s="64"/>
      <c r="N28" s="180"/>
      <c r="O28" s="182" t="str">
        <f t="shared" si="5"/>
        <v>Juros Ativo/Passivos</v>
      </c>
      <c r="P28" s="183">
        <f t="shared" si="5"/>
        <v>-82</v>
      </c>
      <c r="Q28" s="183">
        <v>-199</v>
      </c>
      <c r="R28" s="184">
        <f t="shared" si="2"/>
        <v>-0.5879396984924623</v>
      </c>
      <c r="S28" s="173"/>
      <c r="T28" s="183">
        <f t="shared" si="6"/>
        <v>117</v>
      </c>
      <c r="U28" s="173"/>
      <c r="V28" s="181"/>
      <c r="W28" s="181"/>
      <c r="X28" s="181"/>
      <c r="Y28" s="181"/>
      <c r="Z28" s="181"/>
    </row>
    <row r="29" spans="2:26" ht="21" customHeight="1" outlineLevel="1" x14ac:dyDescent="0.35">
      <c r="B29" s="182" t="s">
        <v>119</v>
      </c>
      <c r="C29" s="183">
        <v>-200778</v>
      </c>
      <c r="D29" s="183">
        <v>-179049</v>
      </c>
      <c r="E29" s="184">
        <f t="shared" si="0"/>
        <v>0.12135784059112309</v>
      </c>
      <c r="F29" s="183">
        <v>-769525</v>
      </c>
      <c r="G29" s="183">
        <v>-665618</v>
      </c>
      <c r="H29" s="184">
        <f t="shared" si="1"/>
        <v>0.15610605482423856</v>
      </c>
      <c r="I29" s="193"/>
      <c r="J29" s="183">
        <f t="shared" si="3"/>
        <v>-21729</v>
      </c>
      <c r="K29" s="183">
        <f t="shared" si="4"/>
        <v>-103907</v>
      </c>
      <c r="L29" s="193"/>
      <c r="M29" s="64"/>
      <c r="N29" s="180"/>
      <c r="O29" s="182" t="str">
        <f t="shared" si="5"/>
        <v>Juros/Encargos sobre empréstimos</v>
      </c>
      <c r="P29" s="183">
        <f t="shared" si="5"/>
        <v>-200778</v>
      </c>
      <c r="Q29" s="183">
        <v>-195826</v>
      </c>
      <c r="R29" s="184">
        <f t="shared" si="2"/>
        <v>2.5287755456374628E-2</v>
      </c>
      <c r="S29" s="173"/>
      <c r="T29" s="183">
        <f t="shared" si="6"/>
        <v>-4952</v>
      </c>
      <c r="U29" s="173"/>
      <c r="V29" s="181"/>
      <c r="W29" s="181"/>
      <c r="X29" s="181"/>
      <c r="Y29" s="181"/>
      <c r="Z29" s="181"/>
    </row>
    <row r="30" spans="2:26" ht="21" customHeight="1" outlineLevel="1" thickBot="1" x14ac:dyDescent="0.4">
      <c r="B30" s="182" t="s">
        <v>120</v>
      </c>
      <c r="C30" s="183">
        <v>-11214</v>
      </c>
      <c r="D30" s="183">
        <v>9569</v>
      </c>
      <c r="E30" s="184" t="str">
        <f t="shared" si="0"/>
        <v>n.a</v>
      </c>
      <c r="F30" s="183">
        <v>-6396</v>
      </c>
      <c r="G30" s="183">
        <v>-4072</v>
      </c>
      <c r="H30" s="184">
        <f t="shared" si="1"/>
        <v>0.57072691552062871</v>
      </c>
      <c r="I30" s="193"/>
      <c r="J30" s="183">
        <f t="shared" si="3"/>
        <v>-20783</v>
      </c>
      <c r="K30" s="183">
        <f t="shared" si="4"/>
        <v>-2324</v>
      </c>
      <c r="L30" s="193"/>
      <c r="M30" s="64"/>
      <c r="N30" s="180"/>
      <c r="O30" s="182" t="str">
        <f t="shared" si="5"/>
        <v>Outras</v>
      </c>
      <c r="P30" s="183">
        <f t="shared" si="5"/>
        <v>-11214</v>
      </c>
      <c r="Q30" s="183">
        <v>8791</v>
      </c>
      <c r="R30" s="184" t="str">
        <f t="shared" si="2"/>
        <v>n.a</v>
      </c>
      <c r="S30" s="173"/>
      <c r="T30" s="183">
        <f t="shared" si="6"/>
        <v>-20005</v>
      </c>
      <c r="U30" s="173"/>
      <c r="V30" s="181"/>
      <c r="W30" s="181"/>
      <c r="X30" s="181"/>
      <c r="Y30" s="181"/>
      <c r="Z30" s="181"/>
    </row>
    <row r="31" spans="2:26" ht="21" customHeight="1" thickBot="1" x14ac:dyDescent="0.4">
      <c r="B31" s="176" t="s">
        <v>121</v>
      </c>
      <c r="C31" s="177">
        <f>C24+C25</f>
        <v>528193</v>
      </c>
      <c r="D31" s="177">
        <f>D24+D25</f>
        <v>344857</v>
      </c>
      <c r="E31" s="178">
        <f t="shared" si="0"/>
        <v>0.53162905204186073</v>
      </c>
      <c r="F31" s="177">
        <f>F24+F25</f>
        <v>1739220</v>
      </c>
      <c r="G31" s="177">
        <f>G24+G25</f>
        <v>1116389</v>
      </c>
      <c r="H31" s="178">
        <f t="shared" si="1"/>
        <v>0.557897829519997</v>
      </c>
      <c r="I31" s="179"/>
      <c r="J31" s="177">
        <f t="shared" si="3"/>
        <v>183336</v>
      </c>
      <c r="K31" s="177">
        <f t="shared" si="4"/>
        <v>622831</v>
      </c>
      <c r="L31" s="179"/>
      <c r="M31" s="64"/>
      <c r="N31" s="180"/>
      <c r="O31" s="176" t="str">
        <f t="shared" si="5"/>
        <v>(=) Resultado Operacional</v>
      </c>
      <c r="P31" s="177">
        <f t="shared" si="5"/>
        <v>528193</v>
      </c>
      <c r="Q31" s="177">
        <v>591382</v>
      </c>
      <c r="R31" s="178">
        <f t="shared" si="2"/>
        <v>-0.10684971811790012</v>
      </c>
      <c r="S31" s="173"/>
      <c r="T31" s="177">
        <f t="shared" si="6"/>
        <v>-63189</v>
      </c>
      <c r="U31" s="173"/>
      <c r="V31" s="181"/>
      <c r="W31" s="181"/>
      <c r="X31" s="181"/>
      <c r="Y31" s="181"/>
      <c r="Z31" s="181"/>
    </row>
    <row r="32" spans="2:26" ht="21" customHeight="1" thickBot="1" x14ac:dyDescent="0.4">
      <c r="B32" s="199" t="s">
        <v>122</v>
      </c>
      <c r="C32" s="200">
        <v>89572</v>
      </c>
      <c r="D32" s="200">
        <v>45241</v>
      </c>
      <c r="E32" s="192">
        <f t="shared" si="0"/>
        <v>0.97988550208881331</v>
      </c>
      <c r="F32" s="200">
        <v>309237</v>
      </c>
      <c r="G32" s="200">
        <v>112353</v>
      </c>
      <c r="H32" s="192">
        <f t="shared" si="1"/>
        <v>1.752369763157192</v>
      </c>
      <c r="I32" s="193"/>
      <c r="J32" s="200">
        <f t="shared" si="3"/>
        <v>44331</v>
      </c>
      <c r="K32" s="200">
        <f t="shared" si="4"/>
        <v>196884</v>
      </c>
      <c r="L32" s="193"/>
      <c r="M32" s="64"/>
      <c r="N32" s="180"/>
      <c r="O32" s="199" t="str">
        <f t="shared" si="5"/>
        <v>(-) Equivalência Patrimonial</v>
      </c>
      <c r="P32" s="200">
        <f t="shared" si="5"/>
        <v>89572</v>
      </c>
      <c r="Q32" s="200">
        <v>79705</v>
      </c>
      <c r="R32" s="201">
        <f t="shared" si="2"/>
        <v>0.12379399033937655</v>
      </c>
      <c r="S32" s="173"/>
      <c r="T32" s="200">
        <f t="shared" si="6"/>
        <v>9867</v>
      </c>
      <c r="U32" s="173"/>
      <c r="V32" s="181"/>
      <c r="W32" s="181"/>
      <c r="X32" s="181"/>
      <c r="Y32" s="181"/>
      <c r="Z32" s="181"/>
    </row>
    <row r="33" spans="2:26" ht="21" customHeight="1" thickBot="1" x14ac:dyDescent="0.4">
      <c r="B33" s="199" t="s">
        <v>123</v>
      </c>
      <c r="C33" s="200">
        <v>-51836</v>
      </c>
      <c r="D33" s="200">
        <v>-27628</v>
      </c>
      <c r="E33" s="189">
        <f t="shared" si="0"/>
        <v>0.8762125380049226</v>
      </c>
      <c r="F33" s="200">
        <v>-99464</v>
      </c>
      <c r="G33" s="200">
        <v>-85686</v>
      </c>
      <c r="H33" s="189">
        <f t="shared" si="1"/>
        <v>0.16079639614406083</v>
      </c>
      <c r="I33" s="193"/>
      <c r="J33" s="200">
        <f t="shared" si="3"/>
        <v>-24208</v>
      </c>
      <c r="K33" s="200">
        <f t="shared" si="4"/>
        <v>-13778</v>
      </c>
      <c r="L33" s="193"/>
      <c r="M33" s="64"/>
      <c r="N33" s="180"/>
      <c r="O33" s="199" t="str">
        <f t="shared" si="5"/>
        <v>(-) Outras Receitas/Despesas Operacionais</v>
      </c>
      <c r="P33" s="200">
        <f t="shared" si="5"/>
        <v>-51836</v>
      </c>
      <c r="Q33" s="200">
        <v>-33118</v>
      </c>
      <c r="R33" s="201">
        <f t="shared" si="2"/>
        <v>0.5651911347303582</v>
      </c>
      <c r="S33" s="173"/>
      <c r="T33" s="200">
        <f t="shared" si="6"/>
        <v>-18718</v>
      </c>
      <c r="U33" s="173"/>
      <c r="V33" s="181"/>
      <c r="W33" s="181"/>
      <c r="X33" s="181"/>
      <c r="Y33" s="181"/>
      <c r="Z33" s="181"/>
    </row>
    <row r="34" spans="2:26" ht="21" customHeight="1" thickBot="1" x14ac:dyDescent="0.4">
      <c r="B34" s="176" t="s">
        <v>124</v>
      </c>
      <c r="C34" s="177">
        <f>SUM(C31:C33)</f>
        <v>565929</v>
      </c>
      <c r="D34" s="177">
        <f>SUM(D31:D33)</f>
        <v>362470</v>
      </c>
      <c r="E34" s="178">
        <f t="shared" si="0"/>
        <v>0.56131266035809868</v>
      </c>
      <c r="F34" s="177">
        <f>SUM(F31:F33)</f>
        <v>1948993</v>
      </c>
      <c r="G34" s="177">
        <f>SUM(G31:G33)</f>
        <v>1143056</v>
      </c>
      <c r="H34" s="178">
        <f t="shared" si="1"/>
        <v>0.70507219243851571</v>
      </c>
      <c r="I34" s="179"/>
      <c r="J34" s="177">
        <f t="shared" si="3"/>
        <v>203459</v>
      </c>
      <c r="K34" s="177">
        <f t="shared" si="4"/>
        <v>805937</v>
      </c>
      <c r="L34" s="179"/>
      <c r="M34" s="64"/>
      <c r="N34" s="180"/>
      <c r="O34" s="176" t="str">
        <f t="shared" si="5"/>
        <v>(=) Resultado Anterior aos Tributos</v>
      </c>
      <c r="P34" s="177">
        <f t="shared" si="5"/>
        <v>565929</v>
      </c>
      <c r="Q34" s="177">
        <v>637969</v>
      </c>
      <c r="R34" s="178">
        <f t="shared" si="2"/>
        <v>-0.11292084725119877</v>
      </c>
      <c r="S34" s="173"/>
      <c r="T34" s="177">
        <f t="shared" si="6"/>
        <v>-72040</v>
      </c>
      <c r="U34" s="173"/>
      <c r="V34" s="181"/>
      <c r="W34" s="181"/>
      <c r="X34" s="181"/>
      <c r="Y34" s="181"/>
      <c r="Z34" s="181"/>
    </row>
    <row r="35" spans="2:26" ht="21" customHeight="1" x14ac:dyDescent="0.35">
      <c r="B35" s="202" t="s">
        <v>125</v>
      </c>
      <c r="C35" s="203">
        <f>SUM(C36:C37)</f>
        <v>351126</v>
      </c>
      <c r="D35" s="203">
        <f>SUM(D36:D37)</f>
        <v>18998</v>
      </c>
      <c r="E35" s="204">
        <f t="shared" si="0"/>
        <v>17.482261290662176</v>
      </c>
      <c r="F35" s="203">
        <f>SUM(F36:F37)</f>
        <v>44538</v>
      </c>
      <c r="G35" s="203">
        <f>SUM(G36:G37)</f>
        <v>-148623</v>
      </c>
      <c r="H35" s="204" t="str">
        <f t="shared" si="1"/>
        <v>n.a</v>
      </c>
      <c r="I35" s="205"/>
      <c r="J35" s="203">
        <f t="shared" si="3"/>
        <v>332128</v>
      </c>
      <c r="K35" s="203">
        <f t="shared" si="4"/>
        <v>193161</v>
      </c>
      <c r="L35" s="205"/>
      <c r="M35" s="64"/>
      <c r="N35" s="198"/>
      <c r="O35" s="202" t="str">
        <f t="shared" si="5"/>
        <v>(-) IR e CSLL</v>
      </c>
      <c r="P35" s="203">
        <f t="shared" si="5"/>
        <v>351126</v>
      </c>
      <c r="Q35" s="203">
        <v>-147325</v>
      </c>
      <c r="R35" s="204" t="str">
        <f t="shared" si="2"/>
        <v>n.a</v>
      </c>
      <c r="S35" s="173"/>
      <c r="T35" s="203">
        <f t="shared" si="6"/>
        <v>498451</v>
      </c>
      <c r="U35" s="173"/>
      <c r="V35" s="181"/>
      <c r="W35" s="181"/>
      <c r="X35" s="181"/>
      <c r="Y35" s="181"/>
      <c r="Z35" s="181"/>
    </row>
    <row r="36" spans="2:26" ht="15" customHeight="1" outlineLevel="1" x14ac:dyDescent="0.35">
      <c r="B36" s="206" t="s">
        <v>126</v>
      </c>
      <c r="C36" s="183">
        <v>349191</v>
      </c>
      <c r="D36" s="183">
        <v>97919</v>
      </c>
      <c r="E36" s="184">
        <f t="shared" si="0"/>
        <v>2.566120977542663</v>
      </c>
      <c r="F36" s="183">
        <v>-64534</v>
      </c>
      <c r="G36" s="183">
        <v>-114501</v>
      </c>
      <c r="H36" s="184">
        <f t="shared" si="1"/>
        <v>-0.43638920184103192</v>
      </c>
      <c r="I36" s="207"/>
      <c r="J36" s="183">
        <f t="shared" si="3"/>
        <v>251272</v>
      </c>
      <c r="K36" s="183">
        <f t="shared" si="4"/>
        <v>49967</v>
      </c>
      <c r="L36" s="207"/>
      <c r="M36" s="64"/>
      <c r="N36" s="180"/>
      <c r="O36" s="206" t="str">
        <f t="shared" si="5"/>
        <v>Corrente</v>
      </c>
      <c r="P36" s="183">
        <f t="shared" si="5"/>
        <v>349191</v>
      </c>
      <c r="Q36" s="183">
        <v>-188420</v>
      </c>
      <c r="R36" s="184" t="str">
        <f t="shared" si="2"/>
        <v>n.a</v>
      </c>
      <c r="S36" s="173"/>
      <c r="T36" s="183">
        <f t="shared" si="6"/>
        <v>537611</v>
      </c>
      <c r="U36" s="173"/>
      <c r="V36" s="181"/>
      <c r="W36" s="181"/>
      <c r="X36" s="181"/>
      <c r="Y36" s="181"/>
      <c r="Z36" s="181"/>
    </row>
    <row r="37" spans="2:26" ht="18" customHeight="1" outlineLevel="1" x14ac:dyDescent="0.35">
      <c r="B37" s="206" t="s">
        <v>127</v>
      </c>
      <c r="C37" s="183">
        <v>1935</v>
      </c>
      <c r="D37" s="183">
        <v>-78921</v>
      </c>
      <c r="E37" s="184" t="str">
        <f t="shared" si="0"/>
        <v>n.a</v>
      </c>
      <c r="F37" s="183">
        <v>109072</v>
      </c>
      <c r="G37" s="183">
        <v>-34122</v>
      </c>
      <c r="H37" s="184" t="str">
        <f t="shared" si="1"/>
        <v>n.a</v>
      </c>
      <c r="I37" s="207"/>
      <c r="J37" s="183">
        <f t="shared" si="3"/>
        <v>80856</v>
      </c>
      <c r="K37" s="183">
        <f t="shared" si="4"/>
        <v>143194</v>
      </c>
      <c r="L37" s="207"/>
      <c r="M37" s="64"/>
      <c r="N37" s="180"/>
      <c r="O37" s="206" t="str">
        <f t="shared" si="5"/>
        <v>Diferido</v>
      </c>
      <c r="P37" s="183">
        <f t="shared" si="5"/>
        <v>1935</v>
      </c>
      <c r="Q37" s="183">
        <v>41095</v>
      </c>
      <c r="R37" s="184">
        <f t="shared" si="2"/>
        <v>-0.95291397980289572</v>
      </c>
      <c r="S37" s="173"/>
      <c r="T37" s="183">
        <f t="shared" si="6"/>
        <v>-39160</v>
      </c>
      <c r="U37" s="173"/>
      <c r="V37" s="181"/>
      <c r="W37" s="181"/>
      <c r="X37" s="181"/>
      <c r="Y37" s="181"/>
      <c r="Z37" s="181"/>
    </row>
    <row r="38" spans="2:26" ht="21" customHeight="1" thickBot="1" x14ac:dyDescent="0.4">
      <c r="B38" s="208" t="s">
        <v>128</v>
      </c>
      <c r="C38" s="209">
        <f>C34+C35</f>
        <v>917055</v>
      </c>
      <c r="D38" s="209">
        <f>D34+D35</f>
        <v>381468</v>
      </c>
      <c r="E38" s="210">
        <f t="shared" si="0"/>
        <v>1.4040155399666552</v>
      </c>
      <c r="F38" s="209">
        <f>F34+F35</f>
        <v>1993531</v>
      </c>
      <c r="G38" s="209">
        <f>G34+G35</f>
        <v>994433</v>
      </c>
      <c r="H38" s="210">
        <f t="shared" si="1"/>
        <v>1.0046911154396527</v>
      </c>
      <c r="I38" s="207"/>
      <c r="J38" s="209">
        <f t="shared" si="3"/>
        <v>535587</v>
      </c>
      <c r="K38" s="209">
        <f t="shared" si="4"/>
        <v>999098</v>
      </c>
      <c r="L38" s="205"/>
      <c r="M38" s="64"/>
      <c r="N38" s="198"/>
      <c r="O38" s="208" t="str">
        <f t="shared" si="5"/>
        <v>(=) Lucro/Prejuízo Consolidado</v>
      </c>
      <c r="P38" s="209">
        <f t="shared" si="5"/>
        <v>917055</v>
      </c>
      <c r="Q38" s="209">
        <v>490644</v>
      </c>
      <c r="R38" s="210">
        <f t="shared" si="2"/>
        <v>0.8690843055249835</v>
      </c>
      <c r="S38" s="173"/>
      <c r="T38" s="209">
        <f t="shared" si="6"/>
        <v>426411</v>
      </c>
      <c r="U38" s="173"/>
      <c r="V38" s="181"/>
      <c r="W38" s="181"/>
      <c r="X38" s="181"/>
      <c r="Y38" s="181"/>
      <c r="Z38" s="181"/>
    </row>
    <row r="39" spans="2:26" ht="21" customHeight="1" thickBot="1" x14ac:dyDescent="0.4">
      <c r="B39" s="211" t="s">
        <v>129</v>
      </c>
      <c r="C39" s="212">
        <v>-16496</v>
      </c>
      <c r="D39" s="212">
        <v>-17912</v>
      </c>
      <c r="E39" s="213">
        <f t="shared" si="0"/>
        <v>-7.9053148727110334E-2</v>
      </c>
      <c r="F39" s="212">
        <v>-51245</v>
      </c>
      <c r="G39" s="212">
        <v>-57546</v>
      </c>
      <c r="H39" s="213">
        <f t="shared" si="1"/>
        <v>-0.10949501268550377</v>
      </c>
      <c r="I39" s="207"/>
      <c r="J39" s="212">
        <f t="shared" si="3"/>
        <v>1416</v>
      </c>
      <c r="K39" s="212">
        <f t="shared" si="4"/>
        <v>6301</v>
      </c>
      <c r="L39" s="207"/>
      <c r="M39" s="64"/>
      <c r="N39" s="180"/>
      <c r="O39" s="211" t="str">
        <f t="shared" si="5"/>
        <v>(-) Partic. Acionista não Controlador</v>
      </c>
      <c r="P39" s="212">
        <f t="shared" si="5"/>
        <v>-16496</v>
      </c>
      <c r="Q39" s="212">
        <v>-16139</v>
      </c>
      <c r="R39" s="213">
        <f t="shared" si="2"/>
        <v>2.2120329636284852E-2</v>
      </c>
      <c r="S39" s="173"/>
      <c r="T39" s="212">
        <f t="shared" si="6"/>
        <v>-357</v>
      </c>
      <c r="U39" s="173"/>
      <c r="V39" s="181"/>
      <c r="W39" s="181"/>
      <c r="X39" s="181"/>
      <c r="Y39" s="181"/>
      <c r="Z39" s="181"/>
    </row>
    <row r="40" spans="2:26" ht="21" customHeight="1" thickBot="1" x14ac:dyDescent="0.4">
      <c r="B40" s="214" t="s">
        <v>130</v>
      </c>
      <c r="C40" s="215">
        <f>C38+C39</f>
        <v>900559</v>
      </c>
      <c r="D40" s="215">
        <f>D38+D39</f>
        <v>363556</v>
      </c>
      <c r="E40" s="216">
        <f t="shared" si="0"/>
        <v>1.4770846857155431</v>
      </c>
      <c r="F40" s="215">
        <f>F38+F39</f>
        <v>1942286</v>
      </c>
      <c r="G40" s="215">
        <f>G38+G39</f>
        <v>936887</v>
      </c>
      <c r="H40" s="216">
        <f t="shared" si="1"/>
        <v>1.0731272821588944</v>
      </c>
      <c r="I40" s="207"/>
      <c r="J40" s="215">
        <f t="shared" si="3"/>
        <v>537003</v>
      </c>
      <c r="K40" s="217">
        <f t="shared" si="4"/>
        <v>1005399</v>
      </c>
      <c r="L40" s="218"/>
      <c r="M40" s="64"/>
      <c r="N40" s="219"/>
      <c r="O40" s="214" t="str">
        <f t="shared" si="5"/>
        <v>(=) Lucro/Prejuízo</v>
      </c>
      <c r="P40" s="215">
        <f t="shared" si="5"/>
        <v>900559</v>
      </c>
      <c r="Q40" s="215">
        <v>474505</v>
      </c>
      <c r="R40" s="216">
        <f t="shared" si="2"/>
        <v>0.89789148691794618</v>
      </c>
      <c r="S40" s="173"/>
      <c r="T40" s="215">
        <f t="shared" si="6"/>
        <v>426054</v>
      </c>
      <c r="U40" s="173"/>
      <c r="V40" s="181"/>
      <c r="W40" s="181"/>
      <c r="X40" s="181"/>
      <c r="Y40" s="181"/>
      <c r="Z40" s="181"/>
    </row>
    <row r="41" spans="2:26" s="65" customFormat="1" ht="21.65" customHeight="1" x14ac:dyDescent="0.35">
      <c r="B41" s="220" t="s">
        <v>131</v>
      </c>
      <c r="C41" s="221">
        <f>C35/C34</f>
        <v>0.62044178686725715</v>
      </c>
      <c r="D41" s="221">
        <f>D35/D34</f>
        <v>5.2412613457665465E-2</v>
      </c>
      <c r="E41" s="222">
        <f t="shared" si="0"/>
        <v>10.837642619527038</v>
      </c>
      <c r="F41" s="221">
        <f>F35/F34</f>
        <v>2.285180090436446E-2</v>
      </c>
      <c r="G41" s="221">
        <f>G35/G34</f>
        <v>-0.13002250108481125</v>
      </c>
      <c r="H41" s="222">
        <f>(G41-F41)*100</f>
        <v>-15.287430198917571</v>
      </c>
      <c r="I41" s="223"/>
      <c r="J41" s="221"/>
      <c r="K41" s="221"/>
      <c r="L41" s="224"/>
      <c r="M41" s="225"/>
      <c r="N41" s="224"/>
      <c r="O41" s="220" t="s">
        <v>131</v>
      </c>
      <c r="P41" s="221">
        <f>-P35/P34</f>
        <v>-0.62044178686725715</v>
      </c>
      <c r="Q41" s="221">
        <f>-Q35/Q34</f>
        <v>0.23092814854640273</v>
      </c>
      <c r="R41" s="222">
        <f>(Q41-P41)*100</f>
        <v>85.136993541365996</v>
      </c>
      <c r="S41" s="221"/>
      <c r="T41" s="221"/>
      <c r="U41" s="222"/>
    </row>
    <row r="42" spans="2:26" s="65" customFormat="1" ht="21.65" customHeight="1" x14ac:dyDescent="0.35">
      <c r="B42" s="220"/>
      <c r="C42" s="221"/>
      <c r="D42" s="221"/>
      <c r="E42" s="222"/>
      <c r="F42" s="221"/>
      <c r="G42" s="221"/>
      <c r="H42" s="222"/>
      <c r="I42" s="223"/>
      <c r="J42" s="221"/>
      <c r="K42" s="221"/>
      <c r="L42" s="224"/>
      <c r="M42" s="225"/>
      <c r="N42" s="224"/>
      <c r="O42" s="224"/>
      <c r="P42" s="224"/>
      <c r="Q42" s="224"/>
      <c r="R42" s="224"/>
      <c r="S42" s="173"/>
      <c r="T42" s="173"/>
      <c r="U42" s="173"/>
    </row>
  </sheetData>
  <mergeCells count="3">
    <mergeCell ref="O6:T6"/>
    <mergeCell ref="C9:H9"/>
    <mergeCell ref="P9:R9"/>
  </mergeCells>
  <hyperlinks>
    <hyperlink ref="F3" location="Menu!A1" display="→Menu←" xr:uid="{A191448D-38C4-4BA8-AAA3-10FFA5DD0477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3583-C1AF-45FC-BA20-DD0AD43E4FC9}">
  <sheetPr>
    <tabColor rgb="FF00B0F0"/>
  </sheetPr>
  <dimension ref="A1:D86"/>
  <sheetViews>
    <sheetView showGridLines="0" zoomScale="70" zoomScaleNormal="70" workbookViewId="0">
      <pane xSplit="2" ySplit="8" topLeftCell="C9" activePane="bottomRight" state="frozen"/>
      <selection activeCell="E29" sqref="E29"/>
      <selection pane="topRight" activeCell="E29" sqref="E29"/>
      <selection pane="bottomLeft" activeCell="E29" sqref="E29"/>
      <selection pane="bottomRight" activeCell="H29" sqref="H29"/>
    </sheetView>
  </sheetViews>
  <sheetFormatPr defaultColWidth="8.81640625" defaultRowHeight="17" customHeight="1" x14ac:dyDescent="0.25"/>
  <cols>
    <col min="1" max="1" width="1.36328125" style="230" customWidth="1"/>
    <col min="2" max="2" width="66.81640625" style="230" customWidth="1"/>
    <col min="3" max="4" width="15.81640625" style="231" customWidth="1"/>
    <col min="5" max="16384" width="8.81640625" style="230"/>
  </cols>
  <sheetData>
    <row r="1" spans="1:4" s="9" customFormat="1" ht="3.5" customHeight="1" thickBot="1" x14ac:dyDescent="0.35">
      <c r="C1" s="227"/>
      <c r="D1" s="227"/>
    </row>
    <row r="2" spans="1:4" s="9" customFormat="1" ht="14" x14ac:dyDescent="0.3">
      <c r="A2" s="149"/>
      <c r="B2" s="150"/>
      <c r="C2" s="151"/>
      <c r="D2" s="151"/>
    </row>
    <row r="3" spans="1:4" s="9" customFormat="1" ht="14" x14ac:dyDescent="0.3">
      <c r="A3" s="149"/>
      <c r="B3" s="155"/>
      <c r="C3" s="156" t="s">
        <v>0</v>
      </c>
      <c r="D3" s="157">
        <v>45291</v>
      </c>
    </row>
    <row r="4" spans="1:4" s="9" customFormat="1" ht="14" x14ac:dyDescent="0.3">
      <c r="A4" s="149"/>
      <c r="B4" s="155"/>
      <c r="C4" s="156" t="s">
        <v>2</v>
      </c>
      <c r="D4" s="160" t="s">
        <v>403</v>
      </c>
    </row>
    <row r="5" spans="1:4" s="9" customFormat="1" ht="14.5" thickBot="1" x14ac:dyDescent="0.35">
      <c r="A5" s="149"/>
      <c r="B5" s="162"/>
      <c r="C5" s="163"/>
      <c r="D5" s="163"/>
    </row>
    <row r="6" spans="1:4" s="9" customFormat="1" ht="14" x14ac:dyDescent="0.3">
      <c r="C6" s="227"/>
      <c r="D6" s="227"/>
    </row>
    <row r="7" spans="1:4" s="9" customFormat="1" ht="15" customHeight="1" x14ac:dyDescent="0.3">
      <c r="B7" s="228" t="s">
        <v>4</v>
      </c>
      <c r="C7" s="229"/>
      <c r="D7" s="229"/>
    </row>
    <row r="8" spans="1:4" ht="17" customHeight="1" thickBot="1" x14ac:dyDescent="0.3"/>
    <row r="9" spans="1:4" ht="17" customHeight="1" thickBot="1" x14ac:dyDescent="0.3">
      <c r="B9" s="27" t="s">
        <v>132</v>
      </c>
      <c r="C9" s="418" t="s">
        <v>34</v>
      </c>
      <c r="D9" s="419"/>
    </row>
    <row r="10" spans="1:4" ht="17" customHeight="1" thickBot="1" x14ac:dyDescent="0.3">
      <c r="B10" s="72" t="s">
        <v>67</v>
      </c>
      <c r="C10" s="28" t="s">
        <v>405</v>
      </c>
      <c r="D10" s="73" t="s">
        <v>406</v>
      </c>
    </row>
    <row r="11" spans="1:4" ht="17" customHeight="1" thickBot="1" x14ac:dyDescent="0.4">
      <c r="B11" s="92" t="s">
        <v>134</v>
      </c>
      <c r="C11" s="233">
        <f>SUM(C12:C26)</f>
        <v>3251783</v>
      </c>
      <c r="D11" s="233">
        <f>SUM(D12:D26)</f>
        <v>2561954</v>
      </c>
    </row>
    <row r="12" spans="1:4" ht="17" customHeight="1" x14ac:dyDescent="0.25">
      <c r="B12" s="81" t="s">
        <v>135</v>
      </c>
      <c r="C12" s="234">
        <v>1942287</v>
      </c>
      <c r="D12" s="234">
        <v>936887</v>
      </c>
    </row>
    <row r="13" spans="1:4" ht="17" customHeight="1" x14ac:dyDescent="0.25">
      <c r="B13" s="81" t="s">
        <v>136</v>
      </c>
      <c r="C13" s="234">
        <v>23755</v>
      </c>
      <c r="D13" s="234">
        <v>62905</v>
      </c>
    </row>
    <row r="14" spans="1:4" ht="17" customHeight="1" x14ac:dyDescent="0.25">
      <c r="B14" s="81" t="s">
        <v>138</v>
      </c>
      <c r="C14" s="234">
        <v>-14296</v>
      </c>
      <c r="D14" s="234">
        <v>-3542</v>
      </c>
    </row>
    <row r="15" spans="1:4" ht="17" customHeight="1" x14ac:dyDescent="0.25">
      <c r="B15" s="81" t="s">
        <v>139</v>
      </c>
      <c r="C15" s="234">
        <v>657602</v>
      </c>
      <c r="D15" s="234">
        <v>603331</v>
      </c>
    </row>
    <row r="16" spans="1:4" ht="17" customHeight="1" x14ac:dyDescent="0.25">
      <c r="B16" s="81" t="s">
        <v>140</v>
      </c>
      <c r="C16" s="234">
        <v>-109072</v>
      </c>
      <c r="D16" s="234">
        <v>34122</v>
      </c>
    </row>
    <row r="17" spans="2:4" ht="17" customHeight="1" x14ac:dyDescent="0.25">
      <c r="B17" s="81" t="s">
        <v>141</v>
      </c>
      <c r="C17" s="234">
        <v>1139</v>
      </c>
      <c r="D17" s="234">
        <v>16812</v>
      </c>
    </row>
    <row r="18" spans="2:4" ht="17" customHeight="1" x14ac:dyDescent="0.25">
      <c r="B18" s="81" t="s">
        <v>142</v>
      </c>
      <c r="C18" s="234">
        <v>99469</v>
      </c>
      <c r="D18" s="234">
        <v>108092</v>
      </c>
    </row>
    <row r="19" spans="2:4" ht="17" customHeight="1" x14ac:dyDescent="0.25">
      <c r="B19" s="81" t="s">
        <v>143</v>
      </c>
      <c r="C19" s="234">
        <v>37</v>
      </c>
      <c r="D19" s="234">
        <v>36</v>
      </c>
    </row>
    <row r="20" spans="2:4" ht="15.5" x14ac:dyDescent="0.25">
      <c r="B20" s="81" t="s">
        <v>144</v>
      </c>
      <c r="C20" s="234">
        <v>57114</v>
      </c>
      <c r="D20" s="234">
        <v>49885</v>
      </c>
    </row>
    <row r="21" spans="2:4" ht="17" customHeight="1" x14ac:dyDescent="0.25">
      <c r="B21" s="81" t="s">
        <v>145</v>
      </c>
      <c r="C21" s="234">
        <v>-8195</v>
      </c>
      <c r="D21" s="234">
        <v>-5936</v>
      </c>
    </row>
    <row r="22" spans="2:4" ht="17" customHeight="1" x14ac:dyDescent="0.25">
      <c r="B22" s="81" t="s">
        <v>146</v>
      </c>
      <c r="C22" s="234">
        <v>-309237</v>
      </c>
      <c r="D22" s="234">
        <v>-94794</v>
      </c>
    </row>
    <row r="23" spans="2:4" ht="17" customHeight="1" x14ac:dyDescent="0.25">
      <c r="B23" s="81" t="s">
        <v>147</v>
      </c>
      <c r="C23" s="234">
        <v>-61479</v>
      </c>
      <c r="D23" s="234">
        <v>-57546</v>
      </c>
    </row>
    <row r="24" spans="2:4" ht="28.5" customHeight="1" x14ac:dyDescent="0.25">
      <c r="B24" s="81" t="s">
        <v>148</v>
      </c>
      <c r="C24" s="234">
        <v>1018114</v>
      </c>
      <c r="D24" s="234">
        <v>942655</v>
      </c>
    </row>
    <row r="25" spans="2:4" ht="19.25" customHeight="1" x14ac:dyDescent="0.25">
      <c r="B25" s="81" t="s">
        <v>149</v>
      </c>
      <c r="C25" s="234">
        <v>5790</v>
      </c>
      <c r="D25" s="234">
        <v>3547</v>
      </c>
    </row>
    <row r="26" spans="2:4" ht="17" customHeight="1" thickBot="1" x14ac:dyDescent="0.3">
      <c r="B26" s="81" t="s">
        <v>150</v>
      </c>
      <c r="C26" s="234">
        <v>-51245</v>
      </c>
      <c r="D26" s="234">
        <v>-34500</v>
      </c>
    </row>
    <row r="27" spans="2:4" ht="17" customHeight="1" thickBot="1" x14ac:dyDescent="0.4">
      <c r="B27" s="92" t="s">
        <v>151</v>
      </c>
      <c r="C27" s="233">
        <f>SUM(C28:C36)</f>
        <v>-557400.25658000004</v>
      </c>
      <c r="D27" s="233">
        <f>SUM(D28:D36)</f>
        <v>-266241.49946000002</v>
      </c>
    </row>
    <row r="28" spans="2:4" ht="17" customHeight="1" x14ac:dyDescent="0.25">
      <c r="B28" s="81" t="s">
        <v>152</v>
      </c>
      <c r="C28" s="234">
        <v>10064</v>
      </c>
      <c r="D28" s="234">
        <v>8621</v>
      </c>
    </row>
    <row r="29" spans="2:4" ht="17" customHeight="1" x14ac:dyDescent="0.25">
      <c r="B29" s="81" t="s">
        <v>153</v>
      </c>
      <c r="C29" s="234">
        <v>96350</v>
      </c>
      <c r="D29" s="234">
        <v>-55223</v>
      </c>
    </row>
    <row r="30" spans="2:4" ht="17" customHeight="1" x14ac:dyDescent="0.25">
      <c r="B30" s="81" t="s">
        <v>154</v>
      </c>
      <c r="C30" s="234">
        <v>-3765</v>
      </c>
      <c r="D30" s="234">
        <v>-8122</v>
      </c>
    </row>
    <row r="31" spans="2:4" ht="17" customHeight="1" x14ac:dyDescent="0.25">
      <c r="B31" s="81" t="s">
        <v>155</v>
      </c>
      <c r="C31" s="234">
        <v>-195807</v>
      </c>
      <c r="D31" s="234">
        <v>-207753</v>
      </c>
    </row>
    <row r="32" spans="2:4" ht="17" customHeight="1" x14ac:dyDescent="0.25">
      <c r="B32" s="81" t="s">
        <v>156</v>
      </c>
      <c r="C32" s="234">
        <v>-154495</v>
      </c>
      <c r="D32" s="234">
        <v>-42085</v>
      </c>
    </row>
    <row r="33" spans="2:4" ht="17" customHeight="1" x14ac:dyDescent="0.25">
      <c r="B33" s="81" t="s">
        <v>157</v>
      </c>
      <c r="C33" s="234">
        <v>-5825</v>
      </c>
      <c r="D33" s="234">
        <v>4712</v>
      </c>
    </row>
    <row r="34" spans="2:4" ht="17" customHeight="1" x14ac:dyDescent="0.25">
      <c r="B34" s="81" t="s">
        <v>158</v>
      </c>
      <c r="C34" s="234">
        <v>103</v>
      </c>
      <c r="D34" s="234">
        <v>6125.50054</v>
      </c>
    </row>
    <row r="35" spans="2:4" ht="17" customHeight="1" x14ac:dyDescent="0.25">
      <c r="B35" s="81" t="s">
        <v>159</v>
      </c>
      <c r="C35" s="234">
        <v>-144269.25657999999</v>
      </c>
      <c r="D35" s="234">
        <v>-21160</v>
      </c>
    </row>
    <row r="36" spans="2:4" ht="17" customHeight="1" thickBot="1" x14ac:dyDescent="0.3">
      <c r="B36" s="81" t="s">
        <v>160</v>
      </c>
      <c r="C36" s="234">
        <v>-159756</v>
      </c>
      <c r="D36" s="234">
        <v>48643</v>
      </c>
    </row>
    <row r="37" spans="2:4" ht="17" customHeight="1" thickBot="1" x14ac:dyDescent="0.4">
      <c r="B37" s="92" t="s">
        <v>161</v>
      </c>
      <c r="C37" s="233">
        <f>SUM(C38:C48)</f>
        <v>4493.4795799999556</v>
      </c>
      <c r="D37" s="233">
        <f>SUM(D38:D48)</f>
        <v>216987</v>
      </c>
    </row>
    <row r="38" spans="2:4" ht="17" customHeight="1" x14ac:dyDescent="0.25">
      <c r="B38" s="81" t="s">
        <v>162</v>
      </c>
      <c r="C38" s="234">
        <v>60735</v>
      </c>
      <c r="D38" s="234">
        <v>27611</v>
      </c>
    </row>
    <row r="39" spans="2:4" ht="17" customHeight="1" x14ac:dyDescent="0.25">
      <c r="B39" s="81" t="s">
        <v>164</v>
      </c>
      <c r="C39" s="234">
        <v>84111</v>
      </c>
      <c r="D39" s="234">
        <v>147538</v>
      </c>
    </row>
    <row r="40" spans="2:4" ht="17" customHeight="1" x14ac:dyDescent="0.25">
      <c r="B40" s="81" t="s">
        <v>165</v>
      </c>
      <c r="C40" s="234">
        <v>10130</v>
      </c>
      <c r="D40" s="234">
        <v>7303</v>
      </c>
    </row>
    <row r="41" spans="2:4" ht="17" customHeight="1" x14ac:dyDescent="0.25">
      <c r="B41" s="81" t="s">
        <v>167</v>
      </c>
      <c r="C41" s="234">
        <v>-166232.52042000004</v>
      </c>
      <c r="D41" s="234">
        <v>-116249</v>
      </c>
    </row>
    <row r="42" spans="2:4" ht="17" customHeight="1" x14ac:dyDescent="0.25">
      <c r="B42" s="81" t="s">
        <v>168</v>
      </c>
      <c r="C42" s="234">
        <v>1509</v>
      </c>
      <c r="D42" s="234">
        <v>-5694</v>
      </c>
    </row>
    <row r="43" spans="2:4" ht="17" customHeight="1" x14ac:dyDescent="0.25">
      <c r="B43" s="81" t="s">
        <v>169</v>
      </c>
      <c r="C43" s="234">
        <v>-22209</v>
      </c>
      <c r="D43" s="234">
        <v>4326</v>
      </c>
    </row>
    <row r="44" spans="2:4" ht="17" customHeight="1" x14ac:dyDescent="0.25">
      <c r="B44" s="81" t="s">
        <v>170</v>
      </c>
      <c r="C44" s="234">
        <v>-92</v>
      </c>
      <c r="D44" s="234">
        <v>-35</v>
      </c>
    </row>
    <row r="45" spans="2:4" ht="17" customHeight="1" x14ac:dyDescent="0.25">
      <c r="B45" s="81" t="s">
        <v>171</v>
      </c>
      <c r="C45" s="234">
        <v>-2480</v>
      </c>
      <c r="D45" s="234">
        <v>-2481</v>
      </c>
    </row>
    <row r="46" spans="2:4" ht="17" customHeight="1" x14ac:dyDescent="0.25">
      <c r="B46" s="81" t="s">
        <v>172</v>
      </c>
      <c r="C46" s="234">
        <v>0</v>
      </c>
      <c r="D46" s="234">
        <v>125279</v>
      </c>
    </row>
    <row r="47" spans="2:4" ht="17" customHeight="1" x14ac:dyDescent="0.25">
      <c r="B47" s="81" t="s">
        <v>173</v>
      </c>
      <c r="C47" s="234">
        <v>0</v>
      </c>
      <c r="D47" s="234">
        <v>29389</v>
      </c>
    </row>
    <row r="48" spans="2:4" ht="17" customHeight="1" thickBot="1" x14ac:dyDescent="0.3">
      <c r="B48" s="81" t="s">
        <v>42</v>
      </c>
      <c r="C48" s="234">
        <v>39022</v>
      </c>
      <c r="D48" s="234">
        <v>0</v>
      </c>
    </row>
    <row r="49" spans="2:4" ht="17" customHeight="1" thickBot="1" x14ac:dyDescent="0.4">
      <c r="B49" s="86" t="s">
        <v>174</v>
      </c>
      <c r="C49" s="235">
        <f>C37+C27+C11</f>
        <v>2698876.2229999998</v>
      </c>
      <c r="D49" s="235">
        <f>D37+D27+D11</f>
        <v>2512699.5005399999</v>
      </c>
    </row>
    <row r="50" spans="2:4" ht="17" customHeight="1" thickBot="1" x14ac:dyDescent="0.4">
      <c r="B50" s="92" t="s">
        <v>175</v>
      </c>
      <c r="C50" s="233">
        <f>SUM(C51:C55)</f>
        <v>-2415418</v>
      </c>
      <c r="D50" s="233">
        <f>SUM(D51:D55)</f>
        <v>-2012091</v>
      </c>
    </row>
    <row r="51" spans="2:4" ht="17" customHeight="1" x14ac:dyDescent="0.25">
      <c r="B51" s="81" t="s">
        <v>176</v>
      </c>
      <c r="C51" s="234">
        <v>-2985529</v>
      </c>
      <c r="D51" s="234">
        <v>-2913375</v>
      </c>
    </row>
    <row r="52" spans="2:4" ht="17" customHeight="1" x14ac:dyDescent="0.25">
      <c r="B52" s="81" t="s">
        <v>177</v>
      </c>
      <c r="C52" s="234">
        <v>2480669</v>
      </c>
      <c r="D52" s="234">
        <v>2842729</v>
      </c>
    </row>
    <row r="53" spans="2:4" ht="17" customHeight="1" x14ac:dyDescent="0.25">
      <c r="B53" s="81" t="s">
        <v>178</v>
      </c>
      <c r="C53" s="234">
        <v>-2154997</v>
      </c>
      <c r="D53" s="234">
        <v>-1947124</v>
      </c>
    </row>
    <row r="54" spans="2:4" ht="17" customHeight="1" x14ac:dyDescent="0.25">
      <c r="B54" s="81" t="s">
        <v>137</v>
      </c>
      <c r="C54" s="234">
        <v>0</v>
      </c>
      <c r="D54" s="234">
        <v>-133500</v>
      </c>
    </row>
    <row r="55" spans="2:4" ht="17" customHeight="1" thickBot="1" x14ac:dyDescent="0.3">
      <c r="B55" s="81" t="s">
        <v>179</v>
      </c>
      <c r="C55" s="234">
        <v>244439</v>
      </c>
      <c r="D55" s="234">
        <v>139179</v>
      </c>
    </row>
    <row r="56" spans="2:4" ht="17" customHeight="1" thickBot="1" x14ac:dyDescent="0.4">
      <c r="B56" s="92" t="s">
        <v>180</v>
      </c>
      <c r="C56" s="233">
        <f>SUM(C57:C64)</f>
        <v>-374162</v>
      </c>
      <c r="D56" s="233">
        <f>SUM(D57:D64)</f>
        <v>-446717</v>
      </c>
    </row>
    <row r="57" spans="2:4" ht="17" customHeight="1" x14ac:dyDescent="0.25">
      <c r="B57" s="81" t="s">
        <v>181</v>
      </c>
      <c r="C57" s="234">
        <v>2467412</v>
      </c>
      <c r="D57" s="234">
        <v>926960</v>
      </c>
    </row>
    <row r="58" spans="2:4" ht="17" customHeight="1" x14ac:dyDescent="0.25">
      <c r="B58" s="81" t="s">
        <v>182</v>
      </c>
      <c r="C58" s="234">
        <v>-1311578</v>
      </c>
      <c r="D58" s="234">
        <v>-812756</v>
      </c>
    </row>
    <row r="59" spans="2:4" ht="17" customHeight="1" x14ac:dyDescent="0.25">
      <c r="B59" s="81" t="s">
        <v>183</v>
      </c>
      <c r="C59" s="234">
        <v>-916093</v>
      </c>
      <c r="D59" s="234">
        <v>-430756</v>
      </c>
    </row>
    <row r="60" spans="2:4" ht="17" customHeight="1" x14ac:dyDescent="0.25">
      <c r="B60" s="81" t="s">
        <v>184</v>
      </c>
      <c r="C60" s="234">
        <v>-14344</v>
      </c>
      <c r="D60" s="234">
        <v>-14352</v>
      </c>
    </row>
    <row r="61" spans="2:4" ht="17" hidden="1" customHeight="1" x14ac:dyDescent="0.25">
      <c r="B61" s="429" t="s">
        <v>185</v>
      </c>
      <c r="C61" s="430">
        <v>0</v>
      </c>
      <c r="D61" s="430">
        <v>0</v>
      </c>
    </row>
    <row r="62" spans="2:4" ht="17" customHeight="1" x14ac:dyDescent="0.25">
      <c r="B62" s="81" t="s">
        <v>186</v>
      </c>
      <c r="C62" s="234">
        <v>-1802</v>
      </c>
      <c r="D62" s="234">
        <v>-18087</v>
      </c>
    </row>
    <row r="63" spans="2:4" ht="17" hidden="1" customHeight="1" x14ac:dyDescent="0.25">
      <c r="B63" s="429" t="s">
        <v>187</v>
      </c>
      <c r="C63" s="430">
        <v>0</v>
      </c>
      <c r="D63" s="430">
        <v>0</v>
      </c>
    </row>
    <row r="64" spans="2:4" ht="17" customHeight="1" thickBot="1" x14ac:dyDescent="0.3">
      <c r="B64" s="81" t="s">
        <v>188</v>
      </c>
      <c r="C64" s="234">
        <v>-597757</v>
      </c>
      <c r="D64" s="234">
        <v>-97726</v>
      </c>
    </row>
    <row r="65" spans="2:4" ht="16" thickBot="1" x14ac:dyDescent="0.4">
      <c r="B65" s="237" t="s">
        <v>189</v>
      </c>
      <c r="C65" s="233">
        <f>C49+C50+C56</f>
        <v>-90703.777000000235</v>
      </c>
      <c r="D65" s="233">
        <f>D49+D50+D56</f>
        <v>53891.500539999921</v>
      </c>
    </row>
    <row r="66" spans="2:4" ht="17" customHeight="1" x14ac:dyDescent="0.25">
      <c r="B66" s="81" t="s">
        <v>190</v>
      </c>
      <c r="C66" s="234">
        <v>336523</v>
      </c>
      <c r="D66" s="234">
        <v>282632</v>
      </c>
    </row>
    <row r="67" spans="2:4" ht="17" customHeight="1" thickBot="1" x14ac:dyDescent="0.3">
      <c r="B67" s="81" t="s">
        <v>191</v>
      </c>
      <c r="C67" s="234">
        <v>245819</v>
      </c>
      <c r="D67" s="234">
        <v>336523</v>
      </c>
    </row>
    <row r="68" spans="2:4" ht="17" customHeight="1" thickBot="1" x14ac:dyDescent="0.4">
      <c r="B68" s="86" t="s">
        <v>192</v>
      </c>
      <c r="C68" s="235">
        <f>C67-C66</f>
        <v>-90704</v>
      </c>
      <c r="D68" s="235">
        <f>D67-D66</f>
        <v>53891</v>
      </c>
    </row>
    <row r="69" spans="2:4" ht="17" customHeight="1" x14ac:dyDescent="0.25">
      <c r="C69" s="238"/>
      <c r="D69" s="238"/>
    </row>
    <row r="70" spans="2:4" ht="17" customHeight="1" x14ac:dyDescent="0.25">
      <c r="B70" s="239" t="s">
        <v>32</v>
      </c>
      <c r="C70" s="240">
        <f>C67-'Balanço Reg'!C14</f>
        <v>0</v>
      </c>
      <c r="D70" s="240">
        <v>0</v>
      </c>
    </row>
    <row r="71" spans="2:4" ht="17" customHeight="1" x14ac:dyDescent="0.25">
      <c r="C71" s="240">
        <f>C65-C68</f>
        <v>0.22299999976530671</v>
      </c>
      <c r="D71" s="240">
        <f>D65-D68</f>
        <v>0.50053999992087483</v>
      </c>
    </row>
    <row r="72" spans="2:4" ht="17" customHeight="1" x14ac:dyDescent="0.25">
      <c r="C72" s="238"/>
      <c r="D72" s="238"/>
    </row>
    <row r="73" spans="2:4" ht="17" customHeight="1" x14ac:dyDescent="0.25">
      <c r="C73" s="238"/>
      <c r="D73" s="238"/>
    </row>
    <row r="74" spans="2:4" ht="17" customHeight="1" x14ac:dyDescent="0.25">
      <c r="C74" s="238"/>
      <c r="D74" s="238"/>
    </row>
    <row r="75" spans="2:4" ht="17" customHeight="1" x14ac:dyDescent="0.25">
      <c r="C75" s="238"/>
      <c r="D75" s="238"/>
    </row>
    <row r="81" spans="3:4" ht="17" customHeight="1" x14ac:dyDescent="0.25">
      <c r="C81" s="238"/>
      <c r="D81" s="238"/>
    </row>
    <row r="82" spans="3:4" ht="17" customHeight="1" x14ac:dyDescent="0.25">
      <c r="C82" s="238"/>
      <c r="D82" s="238"/>
    </row>
    <row r="83" spans="3:4" ht="17" customHeight="1" x14ac:dyDescent="0.25">
      <c r="C83" s="238"/>
      <c r="D83" s="238"/>
    </row>
    <row r="84" spans="3:4" ht="17" customHeight="1" x14ac:dyDescent="0.25">
      <c r="C84" s="238"/>
      <c r="D84" s="238"/>
    </row>
    <row r="85" spans="3:4" ht="17" customHeight="1" x14ac:dyDescent="0.25">
      <c r="C85" s="238"/>
      <c r="D85" s="238"/>
    </row>
    <row r="86" spans="3:4" ht="17" customHeight="1" x14ac:dyDescent="0.25">
      <c r="C86" s="238"/>
      <c r="D86" s="238"/>
    </row>
  </sheetData>
  <mergeCells count="1">
    <mergeCell ref="C9:D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BC10-1B71-4823-9DE4-1F7156088D25}">
  <sheetPr>
    <tabColor rgb="FF00B0F0"/>
  </sheetPr>
  <dimension ref="A1:O96"/>
  <sheetViews>
    <sheetView showGridLines="0" zoomScale="70" zoomScaleNormal="70" workbookViewId="0">
      <pane xSplit="2" ySplit="12" topLeftCell="C13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0" defaultRowHeight="0" customHeight="1" zeroHeight="1" x14ac:dyDescent="0.25"/>
  <cols>
    <col min="1" max="1" width="1" style="230" customWidth="1"/>
    <col min="2" max="2" width="47.81640625" style="241" customWidth="1"/>
    <col min="3" max="4" width="14.36328125" style="231" customWidth="1"/>
    <col min="5" max="5" width="1.54296875" style="230" customWidth="1"/>
    <col min="6" max="6" width="8.90625" style="230" customWidth="1"/>
    <col min="7" max="16384" width="8.81640625" style="230" hidden="1"/>
  </cols>
  <sheetData>
    <row r="1" spans="1:15" s="9" customFormat="1" ht="3.5" customHeight="1" x14ac:dyDescent="0.3">
      <c r="C1" s="227"/>
      <c r="D1" s="227"/>
      <c r="E1" s="227"/>
      <c r="F1" s="227"/>
    </row>
    <row r="2" spans="1:15" s="9" customFormat="1" ht="14" hidden="1" x14ac:dyDescent="0.3">
      <c r="A2" s="149"/>
      <c r="B2" s="150"/>
      <c r="C2" s="151"/>
      <c r="D2" s="151"/>
      <c r="E2" s="151"/>
      <c r="F2" s="152"/>
      <c r="G2" s="153"/>
      <c r="H2" s="153"/>
      <c r="I2" s="153"/>
      <c r="J2" s="153"/>
      <c r="K2" s="153"/>
      <c r="L2" s="153"/>
      <c r="M2" s="153"/>
      <c r="N2" s="153"/>
      <c r="O2" s="154"/>
    </row>
    <row r="3" spans="1:15" s="9" customFormat="1" ht="14" hidden="1" x14ac:dyDescent="0.3">
      <c r="A3" s="149"/>
      <c r="B3" s="155"/>
      <c r="C3" s="156" t="s">
        <v>0</v>
      </c>
      <c r="D3" s="157">
        <v>45291</v>
      </c>
      <c r="E3" s="156"/>
      <c r="F3" s="158" t="s">
        <v>1</v>
      </c>
      <c r="G3" s="156"/>
      <c r="H3" s="156"/>
      <c r="I3" s="156"/>
      <c r="J3" s="156"/>
      <c r="K3" s="156"/>
      <c r="L3" s="156"/>
      <c r="M3" s="156"/>
      <c r="N3" s="156"/>
      <c r="O3" s="159"/>
    </row>
    <row r="4" spans="1:15" s="9" customFormat="1" ht="14" hidden="1" x14ac:dyDescent="0.3">
      <c r="A4" s="149"/>
      <c r="B4" s="155"/>
      <c r="C4" s="156" t="s">
        <v>2</v>
      </c>
      <c r="D4" s="160" t="s">
        <v>403</v>
      </c>
      <c r="E4" s="161"/>
      <c r="F4" s="156"/>
      <c r="G4" s="156"/>
      <c r="H4" s="156"/>
      <c r="I4" s="156"/>
      <c r="J4" s="156"/>
      <c r="K4" s="156"/>
      <c r="L4" s="156"/>
      <c r="M4" s="156"/>
      <c r="N4" s="156"/>
      <c r="O4" s="159"/>
    </row>
    <row r="5" spans="1:15" s="9" customFormat="1" ht="14.5" hidden="1" thickBot="1" x14ac:dyDescent="0.35">
      <c r="A5" s="149"/>
      <c r="B5" s="162"/>
      <c r="C5" s="163"/>
      <c r="D5" s="163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s="9" customFormat="1" ht="14" hidden="1" x14ac:dyDescent="0.3">
      <c r="C6" s="227"/>
      <c r="D6" s="227"/>
      <c r="E6" s="227"/>
      <c r="F6" s="227"/>
    </row>
    <row r="7" spans="1:15" s="9" customFormat="1" ht="15" customHeight="1" x14ac:dyDescent="0.3">
      <c r="B7" s="228" t="s">
        <v>4</v>
      </c>
      <c r="C7" s="229"/>
      <c r="D7" s="229"/>
      <c r="E7" s="229"/>
      <c r="F7" s="228"/>
    </row>
    <row r="8" spans="1:15" ht="15" customHeight="1" x14ac:dyDescent="0.25">
      <c r="C8" s="241"/>
      <c r="D8" s="241"/>
    </row>
    <row r="9" spans="1:15" ht="15" customHeight="1" x14ac:dyDescent="0.25">
      <c r="B9" s="242" t="s">
        <v>193</v>
      </c>
      <c r="C9" s="243"/>
      <c r="D9" s="243"/>
      <c r="E9" s="243"/>
      <c r="F9" s="243"/>
    </row>
    <row r="10" spans="1:15" ht="15" customHeight="1" x14ac:dyDescent="0.25">
      <c r="B10" s="244"/>
      <c r="C10" s="245"/>
      <c r="D10" s="245"/>
    </row>
    <row r="11" spans="1:15" ht="15" customHeight="1" thickBot="1" x14ac:dyDescent="0.3">
      <c r="B11" s="246" t="s">
        <v>194</v>
      </c>
      <c r="C11" s="420" t="s">
        <v>34</v>
      </c>
      <c r="D11" s="421"/>
    </row>
    <row r="12" spans="1:15" ht="15" customHeight="1" thickBot="1" x14ac:dyDescent="0.3">
      <c r="B12" s="247" t="s">
        <v>67</v>
      </c>
      <c r="C12" s="248">
        <v>45291</v>
      </c>
      <c r="D12" s="249">
        <v>44926</v>
      </c>
    </row>
    <row r="13" spans="1:15" ht="15" customHeight="1" thickBot="1" x14ac:dyDescent="0.4">
      <c r="B13" s="250" t="s">
        <v>195</v>
      </c>
      <c r="C13" s="68"/>
      <c r="D13" s="68"/>
    </row>
    <row r="14" spans="1:15" ht="15" customHeight="1" x14ac:dyDescent="0.25">
      <c r="B14" s="81" t="s">
        <v>196</v>
      </c>
      <c r="C14" s="234">
        <v>245819</v>
      </c>
      <c r="D14" s="234">
        <v>336523</v>
      </c>
    </row>
    <row r="15" spans="1:15" ht="15" customHeight="1" x14ac:dyDescent="0.25">
      <c r="B15" s="81" t="s">
        <v>176</v>
      </c>
      <c r="C15" s="234">
        <v>1526208</v>
      </c>
      <c r="D15" s="234">
        <v>907326</v>
      </c>
    </row>
    <row r="16" spans="1:15" ht="15" customHeight="1" x14ac:dyDescent="0.25">
      <c r="B16" s="81" t="s">
        <v>197</v>
      </c>
      <c r="C16" s="234">
        <v>441987</v>
      </c>
      <c r="D16" s="234">
        <v>478085</v>
      </c>
    </row>
    <row r="17" spans="2:4" ht="15" customHeight="1" x14ac:dyDescent="0.25">
      <c r="B17" s="81" t="s">
        <v>198</v>
      </c>
      <c r="C17" s="234">
        <v>30654</v>
      </c>
      <c r="D17" s="234">
        <v>26889</v>
      </c>
    </row>
    <row r="18" spans="2:4" ht="15" customHeight="1" x14ac:dyDescent="0.25">
      <c r="B18" s="81" t="s">
        <v>199</v>
      </c>
      <c r="C18" s="234">
        <v>0</v>
      </c>
      <c r="D18" s="234">
        <v>0</v>
      </c>
    </row>
    <row r="19" spans="2:4" ht="15" customHeight="1" x14ac:dyDescent="0.25">
      <c r="B19" s="81" t="s">
        <v>156</v>
      </c>
      <c r="C19" s="234">
        <v>268730</v>
      </c>
      <c r="D19" s="234">
        <v>114235</v>
      </c>
    </row>
    <row r="20" spans="2:4" ht="15" customHeight="1" x14ac:dyDescent="0.25">
      <c r="B20" s="81" t="s">
        <v>200</v>
      </c>
      <c r="C20" s="234">
        <v>0</v>
      </c>
      <c r="D20" s="234">
        <v>816</v>
      </c>
    </row>
    <row r="21" spans="2:4" ht="15" customHeight="1" x14ac:dyDescent="0.25">
      <c r="B21" s="81" t="s">
        <v>201</v>
      </c>
      <c r="C21" s="234">
        <v>235642</v>
      </c>
      <c r="D21" s="234">
        <v>91373</v>
      </c>
    </row>
    <row r="22" spans="2:4" ht="15" customHeight="1" x14ac:dyDescent="0.25">
      <c r="B22" s="81" t="s">
        <v>157</v>
      </c>
      <c r="C22" s="234">
        <v>12732</v>
      </c>
      <c r="D22" s="234">
        <v>6907</v>
      </c>
    </row>
    <row r="23" spans="2:4" ht="15" customHeight="1" x14ac:dyDescent="0.25">
      <c r="B23" s="81" t="s">
        <v>152</v>
      </c>
      <c r="C23" s="234">
        <v>6657</v>
      </c>
      <c r="D23" s="234">
        <v>2126</v>
      </c>
    </row>
    <row r="24" spans="2:4" ht="15" customHeight="1" thickBot="1" x14ac:dyDescent="0.3">
      <c r="B24" s="81" t="s">
        <v>42</v>
      </c>
      <c r="C24" s="234">
        <v>217967</v>
      </c>
      <c r="D24" s="234">
        <v>102701</v>
      </c>
    </row>
    <row r="25" spans="2:4" ht="15" customHeight="1" thickBot="1" x14ac:dyDescent="0.4">
      <c r="B25" s="86"/>
      <c r="C25" s="235">
        <f>SUM(C14:C24)</f>
        <v>2986396</v>
      </c>
      <c r="D25" s="235">
        <f>SUM(D14:D24)</f>
        <v>2066981</v>
      </c>
    </row>
    <row r="26" spans="2:4" ht="15" customHeight="1" thickBot="1" x14ac:dyDescent="0.4">
      <c r="B26" s="250" t="s">
        <v>202</v>
      </c>
      <c r="C26" s="251"/>
      <c r="D26" s="251"/>
    </row>
    <row r="27" spans="2:4" ht="15" customHeight="1" x14ac:dyDescent="0.35">
      <c r="B27" s="252" t="s">
        <v>203</v>
      </c>
      <c r="C27" s="253"/>
      <c r="D27" s="253"/>
    </row>
    <row r="28" spans="2:4" ht="15" customHeight="1" x14ac:dyDescent="0.25">
      <c r="B28" s="81" t="s">
        <v>204</v>
      </c>
      <c r="C28" s="234">
        <v>17578</v>
      </c>
      <c r="D28" s="234">
        <v>32173</v>
      </c>
    </row>
    <row r="29" spans="2:4" ht="15" customHeight="1" x14ac:dyDescent="0.25">
      <c r="B29" s="81" t="s">
        <v>205</v>
      </c>
      <c r="C29" s="234">
        <v>365945</v>
      </c>
      <c r="D29" s="234">
        <v>426197</v>
      </c>
    </row>
    <row r="30" spans="2:4" ht="15" customHeight="1" x14ac:dyDescent="0.25">
      <c r="B30" s="81" t="s">
        <v>206</v>
      </c>
      <c r="C30" s="234">
        <v>2371307</v>
      </c>
      <c r="D30" s="234">
        <v>2175500</v>
      </c>
    </row>
    <row r="31" spans="2:4" ht="15" customHeight="1" x14ac:dyDescent="0.25">
      <c r="B31" s="81" t="s">
        <v>207</v>
      </c>
      <c r="C31" s="234">
        <v>826</v>
      </c>
      <c r="D31" s="234">
        <v>127</v>
      </c>
    </row>
    <row r="32" spans="2:4" ht="15" customHeight="1" x14ac:dyDescent="0.25">
      <c r="B32" s="81" t="s">
        <v>208</v>
      </c>
      <c r="C32" s="234">
        <v>42677</v>
      </c>
      <c r="D32" s="234">
        <v>41298</v>
      </c>
    </row>
    <row r="33" spans="2:4" ht="15" customHeight="1" x14ac:dyDescent="0.25">
      <c r="B33" s="81" t="s">
        <v>209</v>
      </c>
      <c r="C33" s="234">
        <v>0</v>
      </c>
      <c r="D33" s="234">
        <v>8700</v>
      </c>
    </row>
    <row r="34" spans="2:4" ht="15" customHeight="1" x14ac:dyDescent="0.25">
      <c r="B34" s="81" t="s">
        <v>210</v>
      </c>
      <c r="C34" s="234">
        <v>2615</v>
      </c>
      <c r="D34" s="234">
        <v>0</v>
      </c>
    </row>
    <row r="35" spans="2:4" ht="15" customHeight="1" thickBot="1" x14ac:dyDescent="0.3">
      <c r="B35" s="81" t="s">
        <v>160</v>
      </c>
      <c r="C35" s="234">
        <v>109226</v>
      </c>
      <c r="D35" s="234">
        <v>61733</v>
      </c>
    </row>
    <row r="36" spans="2:4" ht="15" customHeight="1" thickBot="1" x14ac:dyDescent="0.4">
      <c r="B36" s="86"/>
      <c r="C36" s="235">
        <f>SUM(C28:C35)</f>
        <v>2910174</v>
      </c>
      <c r="D36" s="235">
        <f>SUM(D28:D35)</f>
        <v>2745728</v>
      </c>
    </row>
    <row r="37" spans="2:4" ht="15" customHeight="1" x14ac:dyDescent="0.25">
      <c r="B37" s="81" t="s">
        <v>137</v>
      </c>
      <c r="C37" s="234">
        <v>1596572</v>
      </c>
      <c r="D37" s="234">
        <v>1566341</v>
      </c>
    </row>
    <row r="38" spans="2:4" ht="15" customHeight="1" x14ac:dyDescent="0.25">
      <c r="B38" s="81" t="s">
        <v>178</v>
      </c>
      <c r="C38" s="234">
        <v>11770158</v>
      </c>
      <c r="D38" s="234">
        <v>10242590</v>
      </c>
    </row>
    <row r="39" spans="2:4" ht="15" customHeight="1" thickBot="1" x14ac:dyDescent="0.3">
      <c r="B39" s="81" t="s">
        <v>211</v>
      </c>
      <c r="C39" s="234">
        <v>1626979</v>
      </c>
      <c r="D39" s="234">
        <v>1678233</v>
      </c>
    </row>
    <row r="40" spans="2:4" ht="15" customHeight="1" x14ac:dyDescent="0.35">
      <c r="B40" s="129"/>
      <c r="C40" s="254">
        <f>SUM(C37:C39)</f>
        <v>14993709</v>
      </c>
      <c r="D40" s="254">
        <f>SUM(D37:D39)</f>
        <v>13487164</v>
      </c>
    </row>
    <row r="41" spans="2:4" ht="15" customHeight="1" x14ac:dyDescent="0.35">
      <c r="B41" s="136"/>
      <c r="C41" s="255">
        <f>C40+C36</f>
        <v>17903883</v>
      </c>
      <c r="D41" s="255">
        <f>D40+D36</f>
        <v>16232892</v>
      </c>
    </row>
    <row r="42" spans="2:4" ht="15" customHeight="1" thickBot="1" x14ac:dyDescent="0.4">
      <c r="B42" s="118" t="s">
        <v>212</v>
      </c>
      <c r="C42" s="121">
        <f>C41+C25</f>
        <v>20890279</v>
      </c>
      <c r="D42" s="121">
        <f>D41+D25</f>
        <v>18299873</v>
      </c>
    </row>
    <row r="43" spans="2:4" ht="15" customHeight="1" x14ac:dyDescent="0.25">
      <c r="B43" s="256"/>
      <c r="C43" s="257"/>
      <c r="D43" s="257"/>
    </row>
    <row r="44" spans="2:4" ht="15" customHeight="1" thickBot="1" x14ac:dyDescent="0.3">
      <c r="B44" s="246" t="s">
        <v>213</v>
      </c>
      <c r="C44" s="420" t="s">
        <v>34</v>
      </c>
      <c r="D44" s="422"/>
    </row>
    <row r="45" spans="2:4" ht="15" customHeight="1" thickBot="1" x14ac:dyDescent="0.3">
      <c r="B45" s="72" t="s">
        <v>67</v>
      </c>
      <c r="C45" s="232">
        <f>C12</f>
        <v>45291</v>
      </c>
      <c r="D45" s="258">
        <f>D12</f>
        <v>44926</v>
      </c>
    </row>
    <row r="46" spans="2:4" ht="15" customHeight="1" thickBot="1" x14ac:dyDescent="0.4">
      <c r="B46" s="250" t="s">
        <v>195</v>
      </c>
      <c r="C46" s="251"/>
      <c r="D46" s="251"/>
    </row>
    <row r="47" spans="2:4" ht="15" customHeight="1" x14ac:dyDescent="0.25">
      <c r="B47" s="81" t="s">
        <v>214</v>
      </c>
      <c r="C47" s="234">
        <v>75811</v>
      </c>
      <c r="D47" s="234">
        <v>78060</v>
      </c>
    </row>
    <row r="48" spans="2:4" ht="15" customHeight="1" x14ac:dyDescent="0.25">
      <c r="B48" s="81" t="s">
        <v>215</v>
      </c>
      <c r="C48" s="234">
        <v>570815</v>
      </c>
      <c r="D48" s="234">
        <v>88833</v>
      </c>
    </row>
    <row r="49" spans="2:4" ht="15" customHeight="1" x14ac:dyDescent="0.25">
      <c r="B49" s="81" t="s">
        <v>217</v>
      </c>
      <c r="C49" s="234">
        <v>6268</v>
      </c>
      <c r="D49" s="234">
        <v>14124</v>
      </c>
    </row>
    <row r="50" spans="2:4" ht="15" customHeight="1" x14ac:dyDescent="0.25">
      <c r="B50" s="81" t="s">
        <v>186</v>
      </c>
      <c r="C50" s="234">
        <v>25926</v>
      </c>
      <c r="D50" s="234">
        <v>0</v>
      </c>
    </row>
    <row r="51" spans="2:4" ht="15" customHeight="1" x14ac:dyDescent="0.25">
      <c r="B51" s="81" t="s">
        <v>162</v>
      </c>
      <c r="C51" s="234">
        <v>180007</v>
      </c>
      <c r="D51" s="234">
        <v>114962</v>
      </c>
    </row>
    <row r="52" spans="2:4" ht="15" customHeight="1" x14ac:dyDescent="0.25">
      <c r="B52" s="81" t="s">
        <v>164</v>
      </c>
      <c r="C52" s="234">
        <v>115157</v>
      </c>
      <c r="D52" s="234">
        <v>197279</v>
      </c>
    </row>
    <row r="53" spans="2:4" ht="15" customHeight="1" x14ac:dyDescent="0.25">
      <c r="B53" s="81" t="s">
        <v>140</v>
      </c>
      <c r="C53" s="234">
        <v>0</v>
      </c>
      <c r="D53" s="234">
        <v>0</v>
      </c>
    </row>
    <row r="54" spans="2:4" ht="15" customHeight="1" x14ac:dyDescent="0.25">
      <c r="B54" s="81" t="s">
        <v>168</v>
      </c>
      <c r="C54" s="234">
        <v>53071</v>
      </c>
      <c r="D54" s="234">
        <v>63287</v>
      </c>
    </row>
    <row r="55" spans="2:4" ht="15" customHeight="1" x14ac:dyDescent="0.25">
      <c r="B55" s="81" t="s">
        <v>219</v>
      </c>
      <c r="C55" s="234">
        <v>1374021</v>
      </c>
      <c r="D55" s="234">
        <v>611042</v>
      </c>
    </row>
    <row r="56" spans="2:4" ht="15" customHeight="1" x14ac:dyDescent="0.25">
      <c r="B56" s="81" t="s">
        <v>165</v>
      </c>
      <c r="C56" s="234">
        <v>63940</v>
      </c>
      <c r="D56" s="234">
        <v>53810</v>
      </c>
    </row>
    <row r="57" spans="2:4" ht="15" customHeight="1" x14ac:dyDescent="0.25">
      <c r="B57" s="81" t="s">
        <v>220</v>
      </c>
      <c r="C57" s="234">
        <v>731</v>
      </c>
      <c r="D57" s="234">
        <v>823</v>
      </c>
    </row>
    <row r="58" spans="2:4" ht="15" customHeight="1" thickBot="1" x14ac:dyDescent="0.3">
      <c r="B58" s="81" t="s">
        <v>42</v>
      </c>
      <c r="C58" s="234">
        <v>107190</v>
      </c>
      <c r="D58" s="234">
        <v>74319</v>
      </c>
    </row>
    <row r="59" spans="2:4" ht="15" customHeight="1" thickBot="1" x14ac:dyDescent="0.4">
      <c r="B59" s="86"/>
      <c r="C59" s="235">
        <f>SUM(C47:C58)</f>
        <v>2572937</v>
      </c>
      <c r="D59" s="235">
        <f>SUM(D47:D58)</f>
        <v>1296539</v>
      </c>
    </row>
    <row r="60" spans="2:4" ht="15" customHeight="1" thickBot="1" x14ac:dyDescent="0.4">
      <c r="B60" s="250" t="s">
        <v>202</v>
      </c>
      <c r="C60" s="251"/>
      <c r="D60" s="251"/>
    </row>
    <row r="61" spans="2:4" ht="15" customHeight="1" x14ac:dyDescent="0.35">
      <c r="B61" s="252" t="s">
        <v>222</v>
      </c>
      <c r="C61" s="253"/>
      <c r="D61" s="253"/>
    </row>
    <row r="62" spans="2:4" ht="15" customHeight="1" x14ac:dyDescent="0.25">
      <c r="B62" s="81" t="s">
        <v>223</v>
      </c>
      <c r="C62" s="234">
        <v>633914</v>
      </c>
      <c r="D62" s="234">
        <v>2012601</v>
      </c>
    </row>
    <row r="63" spans="2:4" ht="15" customHeight="1" x14ac:dyDescent="0.25">
      <c r="B63" s="81" t="s">
        <v>224</v>
      </c>
      <c r="C63" s="234">
        <v>7959755</v>
      </c>
      <c r="D63" s="234">
        <v>5805235</v>
      </c>
    </row>
    <row r="64" spans="2:4" ht="15" customHeight="1" x14ac:dyDescent="0.25">
      <c r="B64" s="81" t="s">
        <v>225</v>
      </c>
      <c r="C64" s="234">
        <v>22102</v>
      </c>
      <c r="D64" s="234">
        <v>42844</v>
      </c>
    </row>
    <row r="65" spans="2:4" ht="15" customHeight="1" x14ac:dyDescent="0.25">
      <c r="B65" s="81" t="s">
        <v>210</v>
      </c>
      <c r="C65" s="234">
        <v>880</v>
      </c>
      <c r="D65" s="234">
        <v>4117</v>
      </c>
    </row>
    <row r="66" spans="2:4" ht="15" customHeight="1" x14ac:dyDescent="0.25">
      <c r="B66" s="81" t="s">
        <v>227</v>
      </c>
      <c r="C66" s="234">
        <v>1746</v>
      </c>
      <c r="D66" s="234">
        <v>6056</v>
      </c>
    </row>
    <row r="67" spans="2:4" ht="15" customHeight="1" x14ac:dyDescent="0.25">
      <c r="B67" s="81" t="s">
        <v>229</v>
      </c>
      <c r="C67" s="234">
        <v>401059</v>
      </c>
      <c r="D67" s="234">
        <v>154282</v>
      </c>
    </row>
    <row r="68" spans="2:4" ht="15" customHeight="1" x14ac:dyDescent="0.25">
      <c r="B68" s="81" t="s">
        <v>230</v>
      </c>
      <c r="C68" s="234">
        <v>32715</v>
      </c>
      <c r="D68" s="234">
        <v>47011</v>
      </c>
    </row>
    <row r="69" spans="2:4" ht="15" customHeight="1" x14ac:dyDescent="0.25">
      <c r="B69" s="81" t="s">
        <v>231</v>
      </c>
      <c r="C69" s="234">
        <v>887770</v>
      </c>
      <c r="D69" s="234">
        <v>1081435</v>
      </c>
    </row>
    <row r="70" spans="2:4" ht="15" customHeight="1" x14ac:dyDescent="0.25">
      <c r="B70" s="81" t="s">
        <v>232</v>
      </c>
      <c r="C70" s="234">
        <v>38163</v>
      </c>
      <c r="D70" s="234">
        <v>28142</v>
      </c>
    </row>
    <row r="71" spans="2:4" ht="15" customHeight="1" x14ac:dyDescent="0.25">
      <c r="B71" s="81" t="s">
        <v>233</v>
      </c>
      <c r="C71" s="234">
        <v>124951</v>
      </c>
      <c r="D71" s="234">
        <v>135617</v>
      </c>
    </row>
    <row r="72" spans="2:4" ht="15" customHeight="1" x14ac:dyDescent="0.25">
      <c r="B72" s="81" t="s">
        <v>234</v>
      </c>
      <c r="C72" s="234">
        <v>0</v>
      </c>
      <c r="D72" s="234">
        <v>0</v>
      </c>
    </row>
    <row r="73" spans="2:4" ht="15" customHeight="1" x14ac:dyDescent="0.25">
      <c r="B73" s="81" t="s">
        <v>235</v>
      </c>
      <c r="C73" s="234">
        <v>675038</v>
      </c>
      <c r="D73" s="234">
        <v>492633</v>
      </c>
    </row>
    <row r="74" spans="2:4" ht="15" customHeight="1" thickBot="1" x14ac:dyDescent="0.3">
      <c r="B74" s="81" t="s">
        <v>160</v>
      </c>
      <c r="C74" s="234">
        <v>15908</v>
      </c>
      <c r="D74" s="234">
        <v>9757</v>
      </c>
    </row>
    <row r="75" spans="2:4" ht="15" customHeight="1" thickBot="1" x14ac:dyDescent="0.4">
      <c r="B75" s="86"/>
      <c r="C75" s="235">
        <f>SUM(C62:C74)</f>
        <v>10794001</v>
      </c>
      <c r="D75" s="235">
        <f>SUM(D62:D74)</f>
        <v>9819730</v>
      </c>
    </row>
    <row r="76" spans="2:4" ht="15" customHeight="1" thickBot="1" x14ac:dyDescent="0.4">
      <c r="B76" s="250" t="s">
        <v>236</v>
      </c>
      <c r="C76" s="251"/>
      <c r="D76" s="251"/>
    </row>
    <row r="77" spans="2:4" ht="15" customHeight="1" x14ac:dyDescent="0.25">
      <c r="B77" s="81" t="s">
        <v>237</v>
      </c>
      <c r="C77" s="234">
        <v>3590020</v>
      </c>
      <c r="D77" s="234">
        <v>3590020</v>
      </c>
    </row>
    <row r="78" spans="2:4" ht="15" customHeight="1" x14ac:dyDescent="0.25">
      <c r="B78" s="81" t="s">
        <v>238</v>
      </c>
      <c r="C78" s="234">
        <v>666</v>
      </c>
      <c r="D78" s="234">
        <v>666</v>
      </c>
    </row>
    <row r="79" spans="2:4" ht="15" customHeight="1" x14ac:dyDescent="0.25">
      <c r="B79" s="81" t="s">
        <v>240</v>
      </c>
      <c r="C79" s="234">
        <v>2115918</v>
      </c>
      <c r="D79" s="234">
        <v>1431973</v>
      </c>
    </row>
    <row r="80" spans="2:4" ht="15" customHeight="1" x14ac:dyDescent="0.25">
      <c r="B80" s="81" t="s">
        <v>241</v>
      </c>
      <c r="C80" s="234">
        <v>1612737</v>
      </c>
      <c r="D80" s="234">
        <v>1823292</v>
      </c>
    </row>
    <row r="81" spans="2:4" ht="15" customHeight="1" thickBot="1" x14ac:dyDescent="0.3">
      <c r="B81" s="81" t="s">
        <v>242</v>
      </c>
      <c r="C81" s="234">
        <v>-207572</v>
      </c>
      <c r="D81" s="234">
        <v>-21376</v>
      </c>
    </row>
    <row r="82" spans="2:4" ht="15" customHeight="1" thickBot="1" x14ac:dyDescent="0.4">
      <c r="B82" s="86"/>
      <c r="C82" s="235">
        <f>SUM(C77:C81)</f>
        <v>7111769</v>
      </c>
      <c r="D82" s="235">
        <f>SUM(D77:D81)</f>
        <v>6824575</v>
      </c>
    </row>
    <row r="83" spans="2:4" ht="31.5" customHeight="1" thickBot="1" x14ac:dyDescent="0.3">
      <c r="B83" s="81" t="s">
        <v>243</v>
      </c>
      <c r="C83" s="234">
        <v>411572</v>
      </c>
      <c r="D83" s="234">
        <v>359029</v>
      </c>
    </row>
    <row r="84" spans="2:4" ht="15" customHeight="1" x14ac:dyDescent="0.35">
      <c r="B84" s="129"/>
      <c r="C84" s="254">
        <f>C82+C83</f>
        <v>7523341</v>
      </c>
      <c r="D84" s="254">
        <f>D82+D83</f>
        <v>7183604</v>
      </c>
    </row>
    <row r="85" spans="2:4" ht="15" customHeight="1" thickBot="1" x14ac:dyDescent="0.4">
      <c r="B85" s="118" t="s">
        <v>244</v>
      </c>
      <c r="C85" s="121">
        <f>C84+C75+C59</f>
        <v>20890279</v>
      </c>
      <c r="D85" s="121">
        <f>D84+D75+D59</f>
        <v>18299873</v>
      </c>
    </row>
    <row r="86" spans="2:4" ht="15" customHeight="1" x14ac:dyDescent="0.25">
      <c r="C86" s="260"/>
    </row>
    <row r="87" spans="2:4" ht="15" customHeight="1" x14ac:dyDescent="0.25">
      <c r="B87" s="261" t="s">
        <v>245</v>
      </c>
      <c r="C87" s="262">
        <v>0</v>
      </c>
      <c r="D87" s="262">
        <v>0</v>
      </c>
    </row>
    <row r="88" spans="2:4" ht="15" customHeight="1" x14ac:dyDescent="0.25">
      <c r="B88" s="261" t="s">
        <v>246</v>
      </c>
      <c r="C88" s="262">
        <v>0</v>
      </c>
      <c r="D88" s="262">
        <v>0</v>
      </c>
    </row>
    <row r="89" spans="2:4" ht="15" customHeight="1" x14ac:dyDescent="0.25">
      <c r="B89" s="261" t="s">
        <v>32</v>
      </c>
      <c r="C89" s="262">
        <f>C85-C42</f>
        <v>0</v>
      </c>
      <c r="D89" s="262">
        <f>D85-D42</f>
        <v>0</v>
      </c>
    </row>
    <row r="90" spans="2:4" ht="15" customHeight="1" x14ac:dyDescent="0.25"/>
    <row r="91" spans="2:4" ht="15" customHeight="1" x14ac:dyDescent="0.25">
      <c r="B91" s="230"/>
      <c r="C91" s="260"/>
      <c r="D91" s="260"/>
    </row>
    <row r="92" spans="2:4" ht="15" customHeight="1" x14ac:dyDescent="0.25"/>
    <row r="93" spans="2:4" ht="15" customHeight="1" x14ac:dyDescent="0.25"/>
    <row r="94" spans="2:4" ht="15" customHeight="1" x14ac:dyDescent="0.25"/>
    <row r="95" spans="2:4" ht="15" customHeight="1" x14ac:dyDescent="0.25"/>
    <row r="96" spans="2:4" ht="15" customHeight="1" x14ac:dyDescent="0.25"/>
  </sheetData>
  <mergeCells count="2">
    <mergeCell ref="C11:D11"/>
    <mergeCell ref="C44:D44"/>
  </mergeCells>
  <hyperlinks>
    <hyperlink ref="F3" location="Menu!A1" display="→Menu←" xr:uid="{06CE791A-8FC8-42AE-9FA3-4AFFC0C12C9A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8E96-4442-4091-8A15-C3B77C6DC313}">
  <sheetPr>
    <tabColor theme="5" tint="0.79998168889431442"/>
    <pageSetUpPr fitToPage="1"/>
  </sheetPr>
  <dimension ref="A1:CG89"/>
  <sheetViews>
    <sheetView showGridLines="0" zoomScale="55" zoomScaleNormal="55" zoomScaleSheetLayoutView="100" workbookViewId="0">
      <selection activeCell="I1" sqref="I1:Q1048576"/>
    </sheetView>
  </sheetViews>
  <sheetFormatPr defaultColWidth="0" defaultRowHeight="0" customHeight="1" zeroHeight="1" x14ac:dyDescent="0.35"/>
  <cols>
    <col min="1" max="1" width="1" style="267" customWidth="1"/>
    <col min="2" max="2" width="31.6328125" style="267" customWidth="1"/>
    <col min="3" max="3" width="22.81640625" style="307" customWidth="1"/>
    <col min="4" max="4" width="16.1796875" style="307" customWidth="1"/>
    <col min="5" max="6" width="15.81640625" style="267" customWidth="1"/>
    <col min="7" max="7" width="2.81640625" style="267" customWidth="1"/>
    <col min="8" max="8" width="9.81640625" style="276" customWidth="1"/>
    <col min="9" max="9" width="5.81640625" style="267" hidden="1" customWidth="1"/>
    <col min="10" max="10" width="17" style="267" hidden="1" customWidth="1"/>
    <col min="11" max="11" width="16.1796875" style="267" hidden="1" customWidth="1"/>
    <col min="12" max="12" width="12.1796875" style="267" hidden="1" customWidth="1"/>
    <col min="13" max="85" width="0" style="267" hidden="1" customWidth="1"/>
    <col min="86" max="16384" width="9.1796875" style="267" hidden="1"/>
  </cols>
  <sheetData>
    <row r="1" spans="1:75" s="9" customFormat="1" ht="3.5" customHeight="1" thickBot="1" x14ac:dyDescent="0.35">
      <c r="C1" s="227"/>
      <c r="D1" s="227"/>
      <c r="E1" s="227"/>
      <c r="F1" s="227"/>
      <c r="G1" s="227"/>
      <c r="H1" s="227"/>
    </row>
    <row r="2" spans="1:75" s="9" customFormat="1" ht="14" x14ac:dyDescent="0.3">
      <c r="A2" s="149"/>
      <c r="B2" s="150"/>
      <c r="C2" s="151"/>
      <c r="D2" s="151"/>
      <c r="E2" s="151"/>
      <c r="F2" s="152"/>
      <c r="G2" s="153"/>
      <c r="H2" s="153"/>
      <c r="I2" s="153"/>
      <c r="J2" s="153"/>
      <c r="K2" s="153"/>
      <c r="L2" s="153"/>
      <c r="M2" s="153"/>
      <c r="N2" s="154"/>
    </row>
    <row r="3" spans="1:75" s="9" customFormat="1" ht="14" x14ac:dyDescent="0.3">
      <c r="A3" s="149"/>
      <c r="B3" s="155"/>
      <c r="C3" s="156" t="s">
        <v>0</v>
      </c>
      <c r="D3" s="157">
        <v>45291</v>
      </c>
      <c r="E3" s="156"/>
      <c r="F3" s="158" t="s">
        <v>1</v>
      </c>
      <c r="G3" s="156"/>
      <c r="H3" s="156"/>
      <c r="I3" s="156"/>
      <c r="J3" s="156"/>
      <c r="K3" s="156"/>
      <c r="L3" s="156"/>
      <c r="M3" s="156"/>
      <c r="N3" s="159"/>
    </row>
    <row r="4" spans="1:75" s="9" customFormat="1" ht="14" x14ac:dyDescent="0.3">
      <c r="A4" s="149"/>
      <c r="B4" s="155"/>
      <c r="C4" s="156" t="s">
        <v>2</v>
      </c>
      <c r="D4" s="160" t="s">
        <v>403</v>
      </c>
      <c r="E4" s="161"/>
      <c r="F4" s="156"/>
      <c r="G4" s="156"/>
      <c r="H4" s="156"/>
      <c r="I4" s="156"/>
      <c r="J4" s="156"/>
      <c r="K4" s="156"/>
      <c r="L4" s="156"/>
      <c r="M4" s="156"/>
      <c r="N4" s="159"/>
    </row>
    <row r="5" spans="1:75" s="9" customFormat="1" ht="14.5" thickBot="1" x14ac:dyDescent="0.35">
      <c r="A5" s="149"/>
      <c r="B5" s="162"/>
      <c r="C5" s="163"/>
      <c r="D5" s="163"/>
      <c r="E5" s="163"/>
      <c r="F5" s="164"/>
      <c r="G5" s="164"/>
      <c r="H5" s="164"/>
      <c r="I5" s="164"/>
      <c r="J5" s="164"/>
      <c r="K5" s="164"/>
      <c r="L5" s="164"/>
      <c r="M5" s="164"/>
      <c r="N5" s="165"/>
    </row>
    <row r="6" spans="1:75" s="9" customFormat="1" ht="14" x14ac:dyDescent="0.3">
      <c r="C6" s="227"/>
      <c r="D6" s="227"/>
      <c r="E6" s="227"/>
      <c r="F6" s="227"/>
      <c r="G6" s="227"/>
      <c r="H6" s="227"/>
    </row>
    <row r="7" spans="1:75" s="9" customFormat="1" ht="15" customHeight="1" x14ac:dyDescent="0.3">
      <c r="B7" s="228" t="s">
        <v>4</v>
      </c>
      <c r="C7" s="229"/>
      <c r="D7" s="229"/>
      <c r="E7" s="228"/>
      <c r="F7" s="229"/>
      <c r="G7" s="229"/>
      <c r="H7" s="229"/>
    </row>
    <row r="8" spans="1:75" s="263" customFormat="1" ht="14.5" thickBot="1" x14ac:dyDescent="0.4">
      <c r="B8" s="264"/>
      <c r="C8" s="265"/>
      <c r="D8" s="265"/>
      <c r="H8" s="266"/>
    </row>
    <row r="9" spans="1:75" s="263" customFormat="1" ht="20" customHeight="1" thickBot="1" x14ac:dyDescent="0.4">
      <c r="A9" s="267"/>
      <c r="B9" s="268" t="s">
        <v>247</v>
      </c>
      <c r="C9" s="269" t="s">
        <v>248</v>
      </c>
      <c r="D9" s="269" t="s">
        <v>249</v>
      </c>
      <c r="E9" s="270">
        <v>45291</v>
      </c>
      <c r="F9" s="270">
        <v>44926</v>
      </c>
      <c r="G9" s="271"/>
      <c r="H9" s="272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</row>
    <row r="10" spans="1:75" s="263" customFormat="1" ht="20" customHeight="1" x14ac:dyDescent="0.35">
      <c r="A10" s="267"/>
      <c r="B10" s="274" t="s">
        <v>250</v>
      </c>
      <c r="C10" s="275"/>
      <c r="D10" s="275"/>
      <c r="E10" s="275"/>
      <c r="F10" s="275"/>
      <c r="I10" s="273"/>
      <c r="J10" s="273"/>
      <c r="K10" s="273"/>
      <c r="L10" s="273"/>
      <c r="M10" s="273"/>
      <c r="N10" s="273"/>
      <c r="O10" s="273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</row>
    <row r="11" spans="1:75" s="263" customFormat="1" ht="20" customHeight="1" x14ac:dyDescent="0.35">
      <c r="A11" s="267"/>
      <c r="B11" s="89"/>
      <c r="C11" s="277" t="s">
        <v>251</v>
      </c>
      <c r="D11" s="278">
        <v>47192</v>
      </c>
      <c r="E11" s="279">
        <v>102.92108901999994</v>
      </c>
      <c r="F11" s="279">
        <v>121.15805515999993</v>
      </c>
      <c r="G11" s="280"/>
      <c r="H11" s="281"/>
      <c r="I11" s="273"/>
      <c r="J11" s="273"/>
      <c r="K11" s="273"/>
      <c r="L11" s="273"/>
      <c r="M11" s="273"/>
      <c r="N11" s="273"/>
      <c r="O11" s="273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</row>
    <row r="12" spans="1:75" s="263" customFormat="1" ht="20" customHeight="1" x14ac:dyDescent="0.35">
      <c r="A12" s="267"/>
      <c r="B12" s="81"/>
      <c r="C12" s="234" t="s">
        <v>252</v>
      </c>
      <c r="D12" s="282">
        <v>45306</v>
      </c>
      <c r="E12" s="77">
        <v>0.85200249999998612</v>
      </c>
      <c r="F12" s="77">
        <v>11.069373079999986</v>
      </c>
      <c r="G12" s="280"/>
      <c r="H12" s="281"/>
      <c r="I12" s="273"/>
      <c r="J12" s="273"/>
      <c r="K12" s="273"/>
      <c r="L12" s="273"/>
      <c r="M12" s="273"/>
      <c r="N12" s="273"/>
      <c r="O12" s="273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</row>
    <row r="13" spans="1:75" s="263" customFormat="1" ht="20" customHeight="1" x14ac:dyDescent="0.35">
      <c r="A13" s="267"/>
      <c r="B13" s="81"/>
      <c r="C13" s="234" t="s">
        <v>253</v>
      </c>
      <c r="D13" s="282">
        <v>48288</v>
      </c>
      <c r="E13" s="77">
        <v>163.63439776999991</v>
      </c>
      <c r="F13" s="77">
        <v>181.51106100999988</v>
      </c>
      <c r="G13" s="280"/>
      <c r="H13" s="281"/>
      <c r="I13" s="273"/>
      <c r="J13" s="273"/>
      <c r="K13" s="273"/>
      <c r="L13" s="273"/>
      <c r="M13" s="273"/>
      <c r="N13" s="273"/>
      <c r="O13" s="273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</row>
    <row r="14" spans="1:75" s="263" customFormat="1" ht="20" customHeight="1" thickBot="1" x14ac:dyDescent="0.4">
      <c r="A14" s="267"/>
      <c r="B14" s="81"/>
      <c r="C14" s="234" t="s">
        <v>254</v>
      </c>
      <c r="D14" s="282">
        <v>51850</v>
      </c>
      <c r="E14" s="77">
        <v>334.40768188836165</v>
      </c>
      <c r="F14" s="77">
        <v>232.05362471836176</v>
      </c>
      <c r="G14" s="280"/>
      <c r="H14" s="281"/>
      <c r="I14" s="273"/>
      <c r="J14" s="273"/>
      <c r="K14" s="273"/>
      <c r="L14" s="273"/>
      <c r="M14" s="273"/>
      <c r="N14" s="273"/>
      <c r="O14" s="273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</row>
    <row r="15" spans="1:75" s="263" customFormat="1" ht="20" customHeight="1" x14ac:dyDescent="0.35">
      <c r="A15" s="267"/>
      <c r="B15" s="283" t="s">
        <v>255</v>
      </c>
      <c r="C15" s="284"/>
      <c r="D15" s="285"/>
      <c r="E15" s="286"/>
      <c r="F15" s="286"/>
      <c r="G15" s="287"/>
      <c r="H15" s="281"/>
      <c r="I15" s="273"/>
      <c r="J15" s="273"/>
      <c r="K15" s="273"/>
      <c r="L15" s="273"/>
      <c r="M15" s="273"/>
      <c r="N15" s="273"/>
      <c r="O15" s="273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</row>
    <row r="16" spans="1:75" s="263" customFormat="1" ht="20" customHeight="1" x14ac:dyDescent="0.35">
      <c r="A16" s="267"/>
      <c r="B16" s="89" t="s">
        <v>256</v>
      </c>
      <c r="C16" s="277" t="s">
        <v>257</v>
      </c>
      <c r="D16" s="278">
        <v>45337</v>
      </c>
      <c r="E16" s="279">
        <v>430.28038251986163</v>
      </c>
      <c r="F16" s="279">
        <v>408.15051217986161</v>
      </c>
      <c r="G16" s="280"/>
      <c r="H16" s="281"/>
      <c r="I16" s="267"/>
      <c r="J16" s="267"/>
      <c r="K16" s="288"/>
      <c r="L16" s="289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</row>
    <row r="17" spans="1:75" s="263" customFormat="1" ht="20" customHeight="1" x14ac:dyDescent="0.35">
      <c r="A17" s="267"/>
      <c r="B17" s="81" t="s">
        <v>258</v>
      </c>
      <c r="C17" s="234" t="s">
        <v>259</v>
      </c>
      <c r="D17" s="282">
        <v>45762</v>
      </c>
      <c r="E17" s="77">
        <v>845.12409048000006</v>
      </c>
      <c r="F17" s="77">
        <v>804.80296222000015</v>
      </c>
      <c r="G17" s="280"/>
      <c r="H17" s="281"/>
      <c r="I17" s="267"/>
      <c r="J17" s="267"/>
      <c r="K17" s="288"/>
      <c r="L17" s="289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</row>
    <row r="18" spans="1:75" s="263" customFormat="1" ht="20" customHeight="1" x14ac:dyDescent="0.35">
      <c r="A18" s="267"/>
      <c r="B18" s="81" t="s">
        <v>260</v>
      </c>
      <c r="C18" s="234" t="s">
        <v>261</v>
      </c>
      <c r="D18" s="282">
        <v>47467</v>
      </c>
      <c r="E18" s="77">
        <v>510.09734159074998</v>
      </c>
      <c r="F18" s="77">
        <v>484.5680971305589</v>
      </c>
      <c r="G18" s="280"/>
      <c r="H18" s="281"/>
      <c r="I18" s="267"/>
      <c r="J18" s="267"/>
      <c r="K18" s="288"/>
      <c r="L18" s="289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</row>
    <row r="19" spans="1:75" s="263" customFormat="1" ht="20" customHeight="1" x14ac:dyDescent="0.35">
      <c r="A19" s="267"/>
      <c r="B19" s="81" t="s">
        <v>262</v>
      </c>
      <c r="C19" s="234" t="s">
        <v>263</v>
      </c>
      <c r="D19" s="282">
        <v>47072</v>
      </c>
      <c r="E19" s="77">
        <v>809.15482040999984</v>
      </c>
      <c r="F19" s="77">
        <v>810.14463926999974</v>
      </c>
      <c r="G19" s="280"/>
      <c r="H19" s="281"/>
      <c r="I19" s="267"/>
      <c r="J19" s="267"/>
      <c r="K19" s="288"/>
      <c r="L19" s="289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</row>
    <row r="20" spans="1:75" s="263" customFormat="1" ht="20" customHeight="1" x14ac:dyDescent="0.35">
      <c r="A20" s="267"/>
      <c r="B20" s="81" t="s">
        <v>262</v>
      </c>
      <c r="C20" s="234" t="s">
        <v>264</v>
      </c>
      <c r="D20" s="282">
        <v>52732</v>
      </c>
      <c r="E20" s="77">
        <v>864.5636163396224</v>
      </c>
      <c r="F20" s="77">
        <v>853.95889537962228</v>
      </c>
      <c r="G20" s="280"/>
      <c r="H20" s="281"/>
      <c r="I20" s="267"/>
      <c r="J20" s="267"/>
      <c r="K20" s="288"/>
      <c r="L20" s="289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</row>
    <row r="21" spans="1:75" s="263" customFormat="1" ht="20" customHeight="1" x14ac:dyDescent="0.35">
      <c r="A21" s="267"/>
      <c r="B21" s="81" t="s">
        <v>265</v>
      </c>
      <c r="C21" s="234" t="s">
        <v>266</v>
      </c>
      <c r="D21" s="282">
        <v>45855</v>
      </c>
      <c r="E21" s="77">
        <v>904.83380761996818</v>
      </c>
      <c r="F21" s="77">
        <v>820.09987780000006</v>
      </c>
      <c r="G21" s="280"/>
      <c r="H21" s="281"/>
      <c r="I21" s="267"/>
      <c r="J21" s="267"/>
      <c r="K21" s="288"/>
      <c r="L21" s="289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</row>
    <row r="22" spans="1:75" s="263" customFormat="1" ht="20" customHeight="1" x14ac:dyDescent="0.35">
      <c r="A22" s="267"/>
      <c r="B22" s="81" t="s">
        <v>267</v>
      </c>
      <c r="C22" s="234" t="s">
        <v>268</v>
      </c>
      <c r="D22" s="282">
        <v>48136</v>
      </c>
      <c r="E22" s="77">
        <v>739.96576810392776</v>
      </c>
      <c r="F22" s="77">
        <v>704.16295368392775</v>
      </c>
      <c r="G22" s="280"/>
      <c r="H22" s="281"/>
      <c r="I22" s="267"/>
      <c r="J22" s="267"/>
      <c r="K22" s="288"/>
      <c r="L22" s="289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</row>
    <row r="23" spans="1:75" s="263" customFormat="1" ht="20" customHeight="1" x14ac:dyDescent="0.35">
      <c r="A23" s="267"/>
      <c r="B23" s="81" t="s">
        <v>267</v>
      </c>
      <c r="C23" s="234" t="s">
        <v>269</v>
      </c>
      <c r="D23" s="282">
        <v>51058</v>
      </c>
      <c r="E23" s="77">
        <v>304.03165818607221</v>
      </c>
      <c r="F23" s="77">
        <v>289.17611852607229</v>
      </c>
      <c r="G23" s="280"/>
      <c r="H23" s="281"/>
      <c r="I23" s="267"/>
      <c r="J23" s="267"/>
      <c r="K23" s="288"/>
      <c r="L23" s="289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</row>
    <row r="24" spans="1:75" s="263" customFormat="1" ht="20" customHeight="1" x14ac:dyDescent="0.35">
      <c r="A24" s="267"/>
      <c r="B24" s="81" t="s">
        <v>270</v>
      </c>
      <c r="C24" s="234" t="s">
        <v>271</v>
      </c>
      <c r="D24" s="282">
        <v>47222</v>
      </c>
      <c r="E24" s="77">
        <v>716.90615676999982</v>
      </c>
      <c r="F24" s="77">
        <v>719.00424233999991</v>
      </c>
      <c r="G24" s="280"/>
      <c r="H24" s="281"/>
      <c r="I24" s="267"/>
      <c r="J24" s="267"/>
      <c r="K24" s="288"/>
      <c r="L24" s="289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</row>
    <row r="25" spans="1:75" s="263" customFormat="1" ht="20" customHeight="1" x14ac:dyDescent="0.35">
      <c r="A25" s="267"/>
      <c r="B25" s="81" t="s">
        <v>272</v>
      </c>
      <c r="C25" s="234" t="s">
        <v>273</v>
      </c>
      <c r="D25" s="282">
        <v>47557</v>
      </c>
      <c r="E25" s="77">
        <v>568.28141912999979</v>
      </c>
      <c r="F25" s="77">
        <v>0</v>
      </c>
      <c r="G25" s="280"/>
      <c r="H25" s="281"/>
      <c r="I25" s="267"/>
      <c r="J25" s="267"/>
      <c r="K25" s="288"/>
      <c r="L25" s="289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</row>
    <row r="26" spans="1:75" s="263" customFormat="1" ht="20" customHeight="1" x14ac:dyDescent="0.35">
      <c r="A26" s="267"/>
      <c r="B26" s="81" t="s">
        <v>274</v>
      </c>
      <c r="C26" s="234" t="s">
        <v>275</v>
      </c>
      <c r="D26" s="282">
        <v>48867</v>
      </c>
      <c r="E26" s="77">
        <v>764.67951295071373</v>
      </c>
      <c r="F26" s="77">
        <v>0</v>
      </c>
      <c r="G26" s="280"/>
      <c r="H26" s="281"/>
      <c r="I26" s="267"/>
      <c r="J26" s="267"/>
      <c r="K26" s="288"/>
      <c r="L26" s="289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</row>
    <row r="27" spans="1:75" s="263" customFormat="1" ht="20" customHeight="1" thickBot="1" x14ac:dyDescent="0.4">
      <c r="A27" s="267"/>
      <c r="B27" s="81" t="s">
        <v>274</v>
      </c>
      <c r="C27" s="234" t="s">
        <v>276</v>
      </c>
      <c r="D27" s="282">
        <v>50693</v>
      </c>
      <c r="E27" s="77">
        <v>1072.6519376400499</v>
      </c>
      <c r="F27" s="77">
        <v>0</v>
      </c>
      <c r="G27" s="280"/>
      <c r="H27" s="281"/>
      <c r="I27" s="267"/>
      <c r="J27" s="267"/>
      <c r="K27" s="288"/>
      <c r="L27" s="289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</row>
    <row r="28" spans="1:75" s="263" customFormat="1" ht="20" customHeight="1" x14ac:dyDescent="0.35">
      <c r="A28" s="267"/>
      <c r="B28" s="283" t="s">
        <v>277</v>
      </c>
      <c r="C28" s="284"/>
      <c r="D28" s="285"/>
      <c r="E28" s="286"/>
      <c r="F28" s="286"/>
      <c r="G28" s="280"/>
      <c r="H28" s="281"/>
      <c r="I28" s="267"/>
      <c r="J28" s="267"/>
      <c r="K28" s="288"/>
      <c r="L28" s="289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</row>
    <row r="29" spans="1:75" s="263" customFormat="1" ht="20" customHeight="1" thickBot="1" x14ac:dyDescent="0.4">
      <c r="A29" s="267"/>
      <c r="B29" s="89" t="s">
        <v>260</v>
      </c>
      <c r="C29" s="277" t="s">
        <v>278</v>
      </c>
      <c r="D29" s="278">
        <v>45418</v>
      </c>
      <c r="E29" s="279">
        <v>0</v>
      </c>
      <c r="F29" s="279">
        <v>1422.8746255999999</v>
      </c>
      <c r="G29" s="280"/>
      <c r="H29" s="281"/>
      <c r="I29" s="267"/>
      <c r="J29" s="267"/>
      <c r="K29" s="288"/>
      <c r="L29" s="289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</row>
    <row r="30" spans="1:75" s="263" customFormat="1" ht="20" customHeight="1" thickBot="1" x14ac:dyDescent="0.4">
      <c r="A30" s="267"/>
      <c r="B30" s="283" t="s">
        <v>279</v>
      </c>
      <c r="C30" s="284" t="s">
        <v>280</v>
      </c>
      <c r="D30" s="285"/>
      <c r="E30" s="286">
        <v>26.478414299999883</v>
      </c>
      <c r="F30" s="286">
        <v>54.61363317999993</v>
      </c>
      <c r="G30" s="280"/>
      <c r="H30" s="281"/>
      <c r="I30" s="267"/>
      <c r="J30" s="267"/>
      <c r="K30" s="288"/>
      <c r="L30" s="289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</row>
    <row r="31" spans="1:75" s="263" customFormat="1" ht="20" customHeight="1" thickBot="1" x14ac:dyDescent="0.4">
      <c r="A31" s="267"/>
      <c r="B31" s="86" t="s">
        <v>281</v>
      </c>
      <c r="C31" s="87"/>
      <c r="D31" s="290"/>
      <c r="E31" s="291">
        <f>SUM(E11:E30)</f>
        <v>9158.8640972193261</v>
      </c>
      <c r="F31" s="291">
        <f>SUM(F11:F30)</f>
        <v>7917.3486712784024</v>
      </c>
      <c r="G31" s="292"/>
      <c r="H31" s="281"/>
      <c r="I31" s="267"/>
      <c r="J31" s="267"/>
      <c r="K31" s="288"/>
      <c r="L31" s="289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</row>
    <row r="32" spans="1:75" s="9" customFormat="1" ht="5" customHeight="1" thickBot="1" x14ac:dyDescent="0.35">
      <c r="C32" s="293"/>
      <c r="D32" s="294"/>
    </row>
    <row r="33" spans="1:75" s="263" customFormat="1" ht="20" customHeight="1" thickBot="1" x14ac:dyDescent="0.4">
      <c r="A33" s="267"/>
      <c r="B33" s="268" t="s">
        <v>247</v>
      </c>
      <c r="C33" s="269" t="s">
        <v>248</v>
      </c>
      <c r="D33" s="295" t="s">
        <v>249</v>
      </c>
      <c r="E33" s="270">
        <v>45291</v>
      </c>
      <c r="F33" s="270">
        <v>44926</v>
      </c>
      <c r="G33" s="292"/>
      <c r="H33" s="281"/>
      <c r="I33" s="267"/>
      <c r="J33" s="267"/>
      <c r="K33" s="288"/>
      <c r="L33" s="289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</row>
    <row r="34" spans="1:75" s="263" customFormat="1" ht="19.5" customHeight="1" x14ac:dyDescent="0.35">
      <c r="A34" s="267"/>
      <c r="B34" s="296" t="s">
        <v>282</v>
      </c>
      <c r="C34" s="297" t="s">
        <v>283</v>
      </c>
      <c r="D34" s="298">
        <v>47622</v>
      </c>
      <c r="E34" s="299">
        <v>107.84</v>
      </c>
      <c r="F34" s="299">
        <v>121.93555785559629</v>
      </c>
      <c r="G34" s="280"/>
      <c r="H34" s="281"/>
      <c r="I34" s="267"/>
      <c r="J34" s="267"/>
      <c r="K34" s="288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</row>
    <row r="35" spans="1:75" s="263" customFormat="1" ht="19.5" customHeight="1" thickBot="1" x14ac:dyDescent="0.4">
      <c r="A35" s="267"/>
      <c r="B35" s="300" t="s">
        <v>284</v>
      </c>
      <c r="C35" s="301" t="s">
        <v>280</v>
      </c>
      <c r="D35" s="301" t="s">
        <v>280</v>
      </c>
      <c r="E35" s="302">
        <v>1.8348714500000001</v>
      </c>
      <c r="F35" s="302">
        <v>2.4506960300000005</v>
      </c>
      <c r="G35" s="280"/>
      <c r="H35" s="281"/>
      <c r="I35" s="267"/>
      <c r="J35" s="267"/>
      <c r="K35" s="288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</row>
    <row r="36" spans="1:75" s="263" customFormat="1" ht="20" customHeight="1" x14ac:dyDescent="0.35">
      <c r="A36" s="267"/>
      <c r="B36" s="129" t="s">
        <v>285</v>
      </c>
      <c r="C36" s="303"/>
      <c r="D36" s="303"/>
      <c r="E36" s="303">
        <f>SUM(E34:E35)</f>
        <v>109.67487145</v>
      </c>
      <c r="F36" s="303">
        <f>SUM(F34:F35)</f>
        <v>124.38625388559629</v>
      </c>
      <c r="G36" s="280"/>
      <c r="H36" s="281"/>
      <c r="I36" s="267"/>
      <c r="J36" s="267"/>
      <c r="K36" s="288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</row>
    <row r="37" spans="1:75" s="263" customFormat="1" ht="20" customHeight="1" thickBot="1" x14ac:dyDescent="0.4">
      <c r="A37" s="267"/>
      <c r="B37" s="118" t="s">
        <v>286</v>
      </c>
      <c r="C37" s="304"/>
      <c r="D37" s="304"/>
      <c r="E37" s="304">
        <f>SUM(E31+E36)</f>
        <v>9268.538968669327</v>
      </c>
      <c r="F37" s="304">
        <f>SUM(F31+F36)</f>
        <v>8041.7349251639989</v>
      </c>
      <c r="G37" s="305"/>
      <c r="H37" s="281"/>
      <c r="I37" s="267"/>
      <c r="J37" s="267"/>
      <c r="K37" s="288"/>
      <c r="L37" s="289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</row>
    <row r="38" spans="1:75" ht="14" x14ac:dyDescent="0.35">
      <c r="C38" s="306"/>
      <c r="D38" s="306"/>
      <c r="E38" s="276"/>
      <c r="F38" s="276"/>
    </row>
    <row r="39" spans="1:75" ht="14" x14ac:dyDescent="0.35">
      <c r="C39" s="306"/>
      <c r="D39" s="306"/>
      <c r="E39" s="306"/>
      <c r="F39" s="306"/>
    </row>
    <row r="40" spans="1:75" ht="14" x14ac:dyDescent="0.35">
      <c r="C40" s="306"/>
      <c r="D40" s="306"/>
      <c r="E40" s="306"/>
      <c r="F40" s="306"/>
    </row>
    <row r="41" spans="1:75" ht="14" x14ac:dyDescent="0.35">
      <c r="C41" s="306"/>
      <c r="D41" s="306"/>
      <c r="E41" s="306"/>
      <c r="F41" s="306"/>
    </row>
    <row r="42" spans="1:75" ht="14" x14ac:dyDescent="0.35">
      <c r="C42" s="306"/>
      <c r="D42" s="306"/>
    </row>
    <row r="43" spans="1:75" ht="14" x14ac:dyDescent="0.35">
      <c r="C43" s="306"/>
      <c r="D43" s="306"/>
      <c r="E43" s="308"/>
      <c r="F43" s="308"/>
    </row>
    <row r="44" spans="1:75" ht="14" x14ac:dyDescent="0.35">
      <c r="C44" s="306"/>
      <c r="D44" s="306"/>
    </row>
    <row r="45" spans="1:75" ht="15.5" x14ac:dyDescent="0.35">
      <c r="B45" s="70" t="s">
        <v>287</v>
      </c>
      <c r="C45" s="227"/>
      <c r="D45" s="227"/>
    </row>
    <row r="46" spans="1:75" ht="15.5" x14ac:dyDescent="0.35">
      <c r="B46" s="309" t="s">
        <v>288</v>
      </c>
      <c r="C46" s="310" t="s">
        <v>37</v>
      </c>
      <c r="D46" s="310" t="s">
        <v>289</v>
      </c>
    </row>
    <row r="47" spans="1:75" ht="15.5" x14ac:dyDescent="0.35">
      <c r="B47" s="311" t="s">
        <v>250</v>
      </c>
      <c r="C47" s="312">
        <v>601.88771492809121</v>
      </c>
      <c r="D47" s="313">
        <f t="shared" ref="D47:D52" si="0">C47/$C$52</f>
        <v>6.5137288159058698E-2</v>
      </c>
    </row>
    <row r="48" spans="1:75" ht="15.5" x14ac:dyDescent="0.35">
      <c r="B48" s="314" t="s">
        <v>290</v>
      </c>
      <c r="C48" s="315">
        <v>6436.2281154309667</v>
      </c>
      <c r="D48" s="316">
        <f t="shared" si="0"/>
        <v>0.69653929630769995</v>
      </c>
    </row>
    <row r="49" spans="2:4" ht="15.5" x14ac:dyDescent="0.35">
      <c r="B49" s="311" t="s">
        <v>291</v>
      </c>
      <c r="C49" s="312">
        <v>2094.3423963099995</v>
      </c>
      <c r="D49" s="313">
        <f t="shared" si="0"/>
        <v>0.22665321253230147</v>
      </c>
    </row>
    <row r="50" spans="2:4" ht="15.5" x14ac:dyDescent="0.35">
      <c r="B50" s="314" t="s">
        <v>292</v>
      </c>
      <c r="C50" s="315">
        <v>0</v>
      </c>
      <c r="D50" s="316">
        <f t="shared" si="0"/>
        <v>0</v>
      </c>
    </row>
    <row r="51" spans="2:4" ht="15.5" x14ac:dyDescent="0.35">
      <c r="B51" s="311" t="s">
        <v>42</v>
      </c>
      <c r="C51" s="312">
        <v>107.83611070559709</v>
      </c>
      <c r="D51" s="313">
        <f t="shared" si="0"/>
        <v>1.1670203000939839E-2</v>
      </c>
    </row>
    <row r="52" spans="2:4" ht="15.5" x14ac:dyDescent="0.35">
      <c r="B52" s="309" t="s">
        <v>49</v>
      </c>
      <c r="C52" s="310">
        <f>SUM(C47:C51)</f>
        <v>9240.2943373746548</v>
      </c>
      <c r="D52" s="317">
        <f t="shared" si="0"/>
        <v>1</v>
      </c>
    </row>
    <row r="53" spans="2:4" ht="14" x14ac:dyDescent="0.35">
      <c r="C53" s="318">
        <f>ROUND(E37-C52-E30-E35,0)</f>
        <v>0</v>
      </c>
      <c r="D53" s="306"/>
    </row>
    <row r="54" spans="2:4" ht="14" x14ac:dyDescent="0.35">
      <c r="C54" s="306"/>
      <c r="D54" s="306"/>
    </row>
    <row r="55" spans="2:4" ht="14" x14ac:dyDescent="0.35">
      <c r="C55" s="306"/>
      <c r="D55" s="306"/>
    </row>
    <row r="56" spans="2:4" ht="14" x14ac:dyDescent="0.35">
      <c r="C56" s="306"/>
      <c r="D56" s="306"/>
    </row>
    <row r="57" spans="2:4" ht="14" x14ac:dyDescent="0.35">
      <c r="C57" s="306"/>
      <c r="D57" s="306"/>
    </row>
    <row r="58" spans="2:4" ht="14" x14ac:dyDescent="0.35">
      <c r="C58" s="306"/>
      <c r="D58" s="306"/>
    </row>
    <row r="59" spans="2:4" ht="14" x14ac:dyDescent="0.35">
      <c r="C59" s="306"/>
      <c r="D59" s="306"/>
    </row>
    <row r="60" spans="2:4" ht="14" x14ac:dyDescent="0.35">
      <c r="C60" s="306"/>
      <c r="D60" s="306"/>
    </row>
    <row r="61" spans="2:4" ht="14" x14ac:dyDescent="0.35">
      <c r="C61" s="306"/>
      <c r="D61" s="306"/>
    </row>
    <row r="62" spans="2:4" ht="14" x14ac:dyDescent="0.35">
      <c r="C62" s="306"/>
      <c r="D62" s="306"/>
    </row>
    <row r="63" spans="2:4" ht="14" x14ac:dyDescent="0.35">
      <c r="C63" s="306"/>
      <c r="D63" s="306"/>
    </row>
    <row r="64" spans="2:4" ht="14" x14ac:dyDescent="0.35">
      <c r="C64" s="306"/>
      <c r="D64" s="306"/>
    </row>
    <row r="65" spans="3:4" ht="14" x14ac:dyDescent="0.35">
      <c r="C65" s="306"/>
      <c r="D65" s="306"/>
    </row>
    <row r="66" spans="3:4" ht="14" x14ac:dyDescent="0.35">
      <c r="C66" s="306"/>
      <c r="D66" s="306"/>
    </row>
    <row r="67" spans="3:4" ht="14" x14ac:dyDescent="0.35">
      <c r="C67" s="306"/>
      <c r="D67" s="306"/>
    </row>
    <row r="68" spans="3:4" ht="14" x14ac:dyDescent="0.35">
      <c r="C68" s="306"/>
      <c r="D68" s="306"/>
    </row>
    <row r="69" spans="3:4" ht="14" x14ac:dyDescent="0.35">
      <c r="C69" s="306"/>
      <c r="D69" s="306"/>
    </row>
    <row r="70" spans="3:4" ht="14" x14ac:dyDescent="0.35">
      <c r="C70" s="306"/>
      <c r="D70" s="306"/>
    </row>
    <row r="71" spans="3:4" ht="14" x14ac:dyDescent="0.35">
      <c r="C71" s="306"/>
      <c r="D71" s="306"/>
    </row>
    <row r="72" spans="3:4" ht="14" x14ac:dyDescent="0.35">
      <c r="C72" s="306"/>
      <c r="D72" s="306"/>
    </row>
    <row r="73" spans="3:4" ht="14" x14ac:dyDescent="0.35">
      <c r="C73" s="306"/>
      <c r="D73" s="306"/>
    </row>
    <row r="74" spans="3:4" ht="14" x14ac:dyDescent="0.35">
      <c r="C74" s="306"/>
      <c r="D74" s="306"/>
    </row>
    <row r="75" spans="3:4" ht="14" x14ac:dyDescent="0.35">
      <c r="C75" s="306"/>
      <c r="D75" s="306"/>
    </row>
    <row r="76" spans="3:4" ht="14" x14ac:dyDescent="0.35">
      <c r="C76" s="306"/>
      <c r="D76" s="306"/>
    </row>
    <row r="77" spans="3:4" ht="14" x14ac:dyDescent="0.35">
      <c r="C77" s="306"/>
      <c r="D77" s="306"/>
    </row>
    <row r="78" spans="3:4" ht="14" hidden="1" x14ac:dyDescent="0.35">
      <c r="C78" s="306"/>
      <c r="D78" s="306"/>
    </row>
    <row r="79" spans="3:4" ht="14" hidden="1" x14ac:dyDescent="0.35">
      <c r="C79" s="306"/>
      <c r="D79" s="306"/>
    </row>
    <row r="80" spans="3:4" ht="14" hidden="1" x14ac:dyDescent="0.35">
      <c r="C80" s="306"/>
      <c r="D80" s="306"/>
    </row>
    <row r="81" spans="3:4" ht="14" hidden="1" x14ac:dyDescent="0.35">
      <c r="C81" s="306"/>
      <c r="D81" s="306"/>
    </row>
    <row r="82" spans="3:4" ht="14" hidden="1" x14ac:dyDescent="0.35">
      <c r="C82" s="306"/>
      <c r="D82" s="306"/>
    </row>
    <row r="83" spans="3:4" ht="14" hidden="1" x14ac:dyDescent="0.35">
      <c r="C83" s="306"/>
      <c r="D83" s="306"/>
    </row>
    <row r="84" spans="3:4" ht="14" hidden="1" x14ac:dyDescent="0.35">
      <c r="C84" s="306"/>
      <c r="D84" s="306"/>
    </row>
    <row r="85" spans="3:4" ht="14" hidden="1" x14ac:dyDescent="0.35">
      <c r="C85" s="306"/>
      <c r="D85" s="306"/>
    </row>
    <row r="86" spans="3:4" ht="14" hidden="1" x14ac:dyDescent="0.35">
      <c r="C86" s="306"/>
      <c r="D86" s="306"/>
    </row>
    <row r="87" spans="3:4" ht="14" hidden="1" x14ac:dyDescent="0.35">
      <c r="C87" s="306"/>
      <c r="D87" s="306"/>
    </row>
    <row r="88" spans="3:4" ht="14" x14ac:dyDescent="0.35"/>
    <row r="89" spans="3:4" ht="14" x14ac:dyDescent="0.35"/>
  </sheetData>
  <hyperlinks>
    <hyperlink ref="F3" location="Menu!A1" display="→Menu←" xr:uid="{C1CC5EF2-0834-4830-BCE4-C546F2B5DA5A}"/>
  </hyperlinks>
  <pageMargins left="0.78740157499999996" right="0.78740157499999996" top="0.984251969" bottom="0.984251969" header="0.49212598499999999" footer="0.49212598499999999"/>
  <pageSetup paperSize="9" scale="3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13F4-0702-461E-8560-25E74ABA189D}">
  <sheetPr>
    <tabColor theme="5" tint="0.79998168889431442"/>
  </sheetPr>
  <dimension ref="A1:W91"/>
  <sheetViews>
    <sheetView showGridLines="0" zoomScale="55" zoomScaleNormal="55" workbookViewId="0">
      <pane xSplit="2" ySplit="6" topLeftCell="C7" activePane="bottomRight" state="frozen"/>
      <selection activeCell="K14" sqref="K14"/>
      <selection pane="topRight" activeCell="K14" sqref="K14"/>
      <selection pane="bottomLeft" activeCell="K14" sqref="K14"/>
      <selection pane="bottomRight" activeCell="I1" sqref="I1:T1048576"/>
    </sheetView>
  </sheetViews>
  <sheetFormatPr defaultColWidth="0" defaultRowHeight="0" customHeight="1" zeroHeight="1" x14ac:dyDescent="0.3"/>
  <cols>
    <col min="1" max="1" width="1.36328125" style="227" customWidth="1"/>
    <col min="2" max="2" width="16.54296875" style="227" customWidth="1"/>
    <col min="3" max="3" width="15.81640625" style="227" customWidth="1"/>
    <col min="4" max="4" width="18.08984375" style="227" customWidth="1"/>
    <col min="5" max="5" width="15.81640625" style="227" customWidth="1"/>
    <col min="6" max="6" width="15.81640625" style="319" customWidth="1"/>
    <col min="7" max="7" width="15.81640625" style="227" customWidth="1"/>
    <col min="8" max="8" width="2.81640625" style="227" customWidth="1"/>
    <col min="9" max="23" width="0" style="227" hidden="1" customWidth="1"/>
    <col min="24" max="16384" width="11.81640625" style="227" hidden="1"/>
  </cols>
  <sheetData>
    <row r="1" spans="1:8" s="9" customFormat="1" ht="3.5" customHeight="1" x14ac:dyDescent="0.3">
      <c r="C1" s="227"/>
      <c r="D1" s="227"/>
      <c r="E1" s="227"/>
      <c r="F1" s="227"/>
      <c r="G1" s="227"/>
      <c r="H1" s="227"/>
    </row>
    <row r="2" spans="1:8" s="9" customFormat="1" ht="14" hidden="1" x14ac:dyDescent="0.3">
      <c r="A2" s="149"/>
      <c r="B2" s="150"/>
      <c r="C2" s="151"/>
      <c r="D2" s="151"/>
      <c r="E2" s="151"/>
      <c r="F2" s="152"/>
      <c r="G2" s="153"/>
      <c r="H2" s="153"/>
    </row>
    <row r="3" spans="1:8" s="9" customFormat="1" ht="14" hidden="1" x14ac:dyDescent="0.3">
      <c r="A3" s="149"/>
      <c r="B3" s="155"/>
      <c r="C3" s="156" t="s">
        <v>0</v>
      </c>
      <c r="D3" s="157">
        <v>45291</v>
      </c>
      <c r="E3" s="156"/>
      <c r="F3" s="158" t="s">
        <v>1</v>
      </c>
      <c r="G3" s="156"/>
      <c r="H3" s="156"/>
    </row>
    <row r="4" spans="1:8" s="9" customFormat="1" ht="14" hidden="1" x14ac:dyDescent="0.3">
      <c r="A4" s="149"/>
      <c r="B4" s="155"/>
      <c r="C4" s="156" t="s">
        <v>2</v>
      </c>
      <c r="D4" s="160" t="s">
        <v>403</v>
      </c>
      <c r="E4" s="161"/>
      <c r="F4" s="156"/>
      <c r="G4" s="156"/>
      <c r="H4" s="156"/>
    </row>
    <row r="5" spans="1:8" s="9" customFormat="1" ht="14.5" hidden="1" thickBot="1" x14ac:dyDescent="0.35">
      <c r="A5" s="149"/>
      <c r="B5" s="162"/>
      <c r="C5" s="163"/>
      <c r="D5" s="163"/>
      <c r="E5" s="163"/>
      <c r="F5" s="164"/>
      <c r="G5" s="164"/>
      <c r="H5" s="164"/>
    </row>
    <row r="6" spans="1:8" s="9" customFormat="1" ht="14.5" customHeight="1" x14ac:dyDescent="0.3">
      <c r="C6" s="227"/>
      <c r="D6" s="227"/>
      <c r="E6" s="227"/>
      <c r="F6" s="227"/>
      <c r="G6" s="227"/>
      <c r="H6" s="227"/>
    </row>
    <row r="7" spans="1:8" s="9" customFormat="1" ht="15" customHeight="1" x14ac:dyDescent="0.3">
      <c r="B7" s="228" t="s">
        <v>4</v>
      </c>
      <c r="C7" s="229"/>
      <c r="D7" s="229"/>
      <c r="E7" s="229"/>
      <c r="F7" s="228"/>
      <c r="G7" s="229"/>
      <c r="H7" s="229"/>
    </row>
    <row r="8" spans="1:8" ht="14" hidden="1" x14ac:dyDescent="0.3"/>
    <row r="9" spans="1:8" ht="51" customHeight="1" x14ac:dyDescent="0.3">
      <c r="B9" s="423" t="s">
        <v>293</v>
      </c>
      <c r="C9" s="424" t="s">
        <v>247</v>
      </c>
      <c r="D9" s="424" t="s">
        <v>248</v>
      </c>
      <c r="E9" s="424" t="s">
        <v>294</v>
      </c>
      <c r="F9" s="425" t="s">
        <v>295</v>
      </c>
      <c r="G9" s="320" t="s">
        <v>296</v>
      </c>
    </row>
    <row r="10" spans="1:8" ht="16.5" customHeight="1" thickBot="1" x14ac:dyDescent="0.35">
      <c r="B10" s="423"/>
      <c r="C10" s="424"/>
      <c r="D10" s="424"/>
      <c r="E10" s="424"/>
      <c r="F10" s="425"/>
      <c r="G10" s="321">
        <v>45291</v>
      </c>
    </row>
    <row r="11" spans="1:8" ht="16.5" customHeight="1" x14ac:dyDescent="0.3">
      <c r="B11" s="322" t="s">
        <v>297</v>
      </c>
      <c r="C11" s="323"/>
      <c r="D11" s="323"/>
      <c r="E11" s="323"/>
      <c r="F11" s="323"/>
      <c r="G11" s="323"/>
    </row>
    <row r="12" spans="1:8" ht="16.25" customHeight="1" x14ac:dyDescent="0.3">
      <c r="B12" s="324"/>
      <c r="C12" s="277" t="s">
        <v>298</v>
      </c>
      <c r="D12" s="277" t="s">
        <v>299</v>
      </c>
      <c r="E12" s="325">
        <v>45734</v>
      </c>
      <c r="F12" s="279">
        <v>175.7296060704</v>
      </c>
      <c r="G12" s="279">
        <f>F12/51%</f>
        <v>344.56785503999998</v>
      </c>
    </row>
    <row r="13" spans="1:8" ht="16.25" customHeight="1" x14ac:dyDescent="0.3">
      <c r="B13" s="326"/>
      <c r="C13" s="234" t="s">
        <v>250</v>
      </c>
      <c r="D13" s="234" t="s">
        <v>300</v>
      </c>
      <c r="E13" s="327">
        <v>47529</v>
      </c>
      <c r="F13" s="77">
        <v>350.80315547637014</v>
      </c>
      <c r="G13" s="77">
        <f>F13/51%</f>
        <v>687.84932446347079</v>
      </c>
    </row>
    <row r="14" spans="1:8" ht="16.25" customHeight="1" x14ac:dyDescent="0.3">
      <c r="B14" s="328"/>
      <c r="C14" s="234" t="s">
        <v>250</v>
      </c>
      <c r="D14" s="234" t="s">
        <v>301</v>
      </c>
      <c r="E14" s="327">
        <v>47529</v>
      </c>
      <c r="F14" s="77">
        <v>2.7067525935297967</v>
      </c>
      <c r="G14" s="77">
        <f>F14/51%</f>
        <v>5.3073580265290135</v>
      </c>
    </row>
    <row r="15" spans="1:8" ht="16.25" customHeight="1" x14ac:dyDescent="0.3">
      <c r="B15" s="326"/>
      <c r="C15" s="234" t="s">
        <v>250</v>
      </c>
      <c r="D15" s="234" t="s">
        <v>302</v>
      </c>
      <c r="E15" s="327">
        <v>44849</v>
      </c>
      <c r="F15" s="77">
        <v>0</v>
      </c>
      <c r="G15" s="77">
        <f>F15/51%</f>
        <v>0</v>
      </c>
    </row>
    <row r="16" spans="1:8" ht="16.25" customHeight="1" x14ac:dyDescent="0.3">
      <c r="B16" s="326"/>
      <c r="C16" s="234" t="s">
        <v>303</v>
      </c>
      <c r="D16" s="234" t="s">
        <v>283</v>
      </c>
      <c r="E16" s="327">
        <v>48589</v>
      </c>
      <c r="F16" s="77">
        <v>126.7460507871</v>
      </c>
      <c r="G16" s="77">
        <f>F16/51%</f>
        <v>248.52166821</v>
      </c>
    </row>
    <row r="17" spans="2:8" ht="16.25" customHeight="1" x14ac:dyDescent="0.3">
      <c r="B17" s="330" t="s">
        <v>304</v>
      </c>
      <c r="C17" s="331"/>
      <c r="D17" s="331"/>
      <c r="E17" s="332"/>
      <c r="F17" s="333">
        <f>SUM(F12:F16)</f>
        <v>655.98556492739999</v>
      </c>
      <c r="G17" s="333">
        <f>SUM(G12:G16)</f>
        <v>1286.2462057399998</v>
      </c>
    </row>
    <row r="18" spans="2:8" ht="16.25" customHeight="1" x14ac:dyDescent="0.3">
      <c r="B18" s="328" t="s">
        <v>305</v>
      </c>
      <c r="C18" s="234"/>
      <c r="D18" s="234"/>
      <c r="E18" s="327"/>
      <c r="F18" s="77">
        <f>$G$18*51%</f>
        <v>124.69398</v>
      </c>
      <c r="G18" s="77">
        <v>244.49799999999999</v>
      </c>
    </row>
    <row r="19" spans="2:8" ht="16.25" customHeight="1" thickBot="1" x14ac:dyDescent="0.35">
      <c r="B19" s="330" t="s">
        <v>306</v>
      </c>
      <c r="C19" s="331"/>
      <c r="D19" s="331"/>
      <c r="E19" s="332"/>
      <c r="F19" s="333">
        <f>F17-F18</f>
        <v>531.29158492739998</v>
      </c>
      <c r="G19" s="333">
        <f>G17-G18</f>
        <v>1041.7482057399998</v>
      </c>
    </row>
    <row r="20" spans="2:8" ht="2.4" customHeight="1" thickBot="1" x14ac:dyDescent="0.4">
      <c r="B20" s="334"/>
      <c r="C20" s="87"/>
      <c r="D20" s="87"/>
      <c r="E20" s="87"/>
      <c r="F20" s="87"/>
      <c r="G20" s="87"/>
    </row>
    <row r="21" spans="2:8" ht="16.25" customHeight="1" x14ac:dyDescent="0.3">
      <c r="B21" s="322" t="s">
        <v>307</v>
      </c>
      <c r="C21" s="323"/>
      <c r="D21" s="323"/>
      <c r="E21" s="323"/>
      <c r="F21" s="323"/>
      <c r="G21" s="323"/>
    </row>
    <row r="22" spans="2:8" ht="16.25" customHeight="1" x14ac:dyDescent="0.3">
      <c r="B22" s="328"/>
      <c r="C22" s="234" t="s">
        <v>250</v>
      </c>
      <c r="D22" s="234" t="s">
        <v>308</v>
      </c>
      <c r="E22" s="327">
        <v>47102</v>
      </c>
      <c r="F22" s="77">
        <v>45.663853333902203</v>
      </c>
      <c r="G22" s="77">
        <f>F22/51%</f>
        <v>89.536967321376864</v>
      </c>
    </row>
    <row r="23" spans="2:8" ht="16.25" customHeight="1" x14ac:dyDescent="0.3">
      <c r="B23" s="328"/>
      <c r="C23" s="234" t="s">
        <v>250</v>
      </c>
      <c r="D23" s="234" t="s">
        <v>252</v>
      </c>
      <c r="E23" s="327">
        <v>45153</v>
      </c>
      <c r="F23" s="77">
        <v>0</v>
      </c>
      <c r="G23" s="77">
        <f>F23/51%</f>
        <v>0</v>
      </c>
    </row>
    <row r="24" spans="2:8" ht="16.25" customHeight="1" x14ac:dyDescent="0.3">
      <c r="B24" s="328"/>
      <c r="C24" s="234" t="s">
        <v>250</v>
      </c>
      <c r="D24" s="234" t="s">
        <v>301</v>
      </c>
      <c r="E24" s="327">
        <v>47102</v>
      </c>
      <c r="F24" s="77">
        <v>2.5598220688977946</v>
      </c>
      <c r="G24" s="77">
        <f>F24/51%</f>
        <v>5.0192589586231264</v>
      </c>
    </row>
    <row r="25" spans="2:8" ht="16.25" customHeight="1" x14ac:dyDescent="0.3">
      <c r="B25" s="330" t="s">
        <v>304</v>
      </c>
      <c r="C25" s="331"/>
      <c r="D25" s="331"/>
      <c r="E25" s="332"/>
      <c r="F25" s="333">
        <f>SUM(F22:F24)</f>
        <v>48.223675402799998</v>
      </c>
      <c r="G25" s="333">
        <f>SUM(G22:G24)</f>
        <v>94.55622627999999</v>
      </c>
    </row>
    <row r="26" spans="2:8" ht="16.25" customHeight="1" x14ac:dyDescent="0.3">
      <c r="B26" s="328" t="s">
        <v>305</v>
      </c>
      <c r="C26" s="234"/>
      <c r="D26" s="234"/>
      <c r="E26" s="327"/>
      <c r="F26" s="77">
        <f>$G$26*51%</f>
        <v>5.6339700000000006</v>
      </c>
      <c r="G26" s="77">
        <v>11.047000000000001</v>
      </c>
    </row>
    <row r="27" spans="2:8" ht="16.25" customHeight="1" thickBot="1" x14ac:dyDescent="0.35">
      <c r="B27" s="330" t="s">
        <v>306</v>
      </c>
      <c r="C27" s="331"/>
      <c r="D27" s="331"/>
      <c r="E27" s="332"/>
      <c r="F27" s="333">
        <f>F25-F26</f>
        <v>42.5897054028</v>
      </c>
      <c r="G27" s="333">
        <f>G25-G26</f>
        <v>83.509226279999993</v>
      </c>
    </row>
    <row r="28" spans="2:8" ht="2.4" customHeight="1" thickBot="1" x14ac:dyDescent="0.4">
      <c r="B28" s="334"/>
      <c r="C28" s="87"/>
      <c r="D28" s="87"/>
      <c r="E28" s="87"/>
      <c r="F28" s="87"/>
      <c r="G28" s="87"/>
    </row>
    <row r="29" spans="2:8" ht="15.5" hidden="1" x14ac:dyDescent="0.3">
      <c r="B29" s="322" t="s">
        <v>309</v>
      </c>
      <c r="C29" s="323"/>
      <c r="D29" s="323"/>
      <c r="E29" s="323"/>
      <c r="F29" s="323"/>
      <c r="G29" s="323"/>
    </row>
    <row r="30" spans="2:8" ht="16.25" customHeight="1" x14ac:dyDescent="0.3">
      <c r="B30" s="328"/>
      <c r="C30" s="234" t="s">
        <v>310</v>
      </c>
      <c r="D30" s="234" t="s">
        <v>311</v>
      </c>
      <c r="E30" s="327">
        <v>52580</v>
      </c>
      <c r="F30" s="77">
        <v>1133.9580684160801</v>
      </c>
      <c r="G30" s="77">
        <f>F30/50%</f>
        <v>2267.9161368321602</v>
      </c>
    </row>
    <row r="31" spans="2:8" ht="16.25" customHeight="1" x14ac:dyDescent="0.3">
      <c r="B31" s="330" t="s">
        <v>304</v>
      </c>
      <c r="C31" s="331"/>
      <c r="D31" s="331"/>
      <c r="E31" s="332"/>
      <c r="F31" s="333">
        <f>SUM(F30)</f>
        <v>1133.9580684160801</v>
      </c>
      <c r="G31" s="333">
        <f>SUM(G30)</f>
        <v>2267.9161368321602</v>
      </c>
    </row>
    <row r="32" spans="2:8" ht="16.25" customHeight="1" x14ac:dyDescent="0.3">
      <c r="B32" s="328" t="s">
        <v>305</v>
      </c>
      <c r="C32" s="234"/>
      <c r="D32" s="234"/>
      <c r="E32" s="327"/>
      <c r="F32" s="77">
        <f>$G$32*50%</f>
        <v>23.994499999999999</v>
      </c>
      <c r="G32" s="77">
        <v>47.988999999999997</v>
      </c>
      <c r="H32" s="335"/>
    </row>
    <row r="33" spans="2:7" ht="16.25" customHeight="1" thickBot="1" x14ac:dyDescent="0.35">
      <c r="B33" s="330" t="s">
        <v>306</v>
      </c>
      <c r="C33" s="331"/>
      <c r="D33" s="331"/>
      <c r="E33" s="332"/>
      <c r="F33" s="333">
        <f>+F31-F32</f>
        <v>1109.9635684160801</v>
      </c>
      <c r="G33" s="333">
        <f>+G31-G32</f>
        <v>2219.9271368321602</v>
      </c>
    </row>
    <row r="34" spans="2:7" ht="16.25" customHeight="1" x14ac:dyDescent="0.35">
      <c r="B34" s="336" t="s">
        <v>312</v>
      </c>
      <c r="C34" s="303"/>
      <c r="D34" s="303"/>
      <c r="E34" s="303"/>
      <c r="F34" s="303">
        <f>SUM(F17,F25,F31)</f>
        <v>1838.16730874628</v>
      </c>
      <c r="G34" s="303">
        <f>SUM(G17,G25,G31)</f>
        <v>3648.7185688521599</v>
      </c>
    </row>
    <row r="35" spans="2:7" ht="16.25" customHeight="1" thickBot="1" x14ac:dyDescent="0.4">
      <c r="B35" s="337" t="s">
        <v>313</v>
      </c>
      <c r="C35" s="304"/>
      <c r="D35" s="304"/>
      <c r="E35" s="304"/>
      <c r="F35" s="304">
        <f>SUM(F19,F27,F33)</f>
        <v>1683.8448587462799</v>
      </c>
      <c r="G35" s="304">
        <f>SUM(G19,G27,G33)</f>
        <v>3345.1845688521598</v>
      </c>
    </row>
    <row r="36" spans="2:7" ht="14" hidden="1" x14ac:dyDescent="0.3">
      <c r="F36" s="227"/>
      <c r="G36" s="319"/>
    </row>
    <row r="37" spans="2:7" ht="14" hidden="1" x14ac:dyDescent="0.3">
      <c r="F37" s="227"/>
    </row>
    <row r="38" spans="2:7" ht="14" hidden="1" x14ac:dyDescent="0.3">
      <c r="F38" s="227"/>
    </row>
    <row r="39" spans="2:7" ht="13.75" customHeight="1" x14ac:dyDescent="0.3">
      <c r="F39" s="227"/>
    </row>
    <row r="40" spans="2:7" ht="14.4" customHeight="1" x14ac:dyDescent="0.3">
      <c r="F40" s="227"/>
    </row>
    <row r="41" spans="2:7" ht="14" hidden="1" x14ac:dyDescent="0.3">
      <c r="C41" s="329"/>
      <c r="D41" s="329"/>
    </row>
    <row r="42" spans="2:7" ht="15.65" hidden="1" customHeight="1" x14ac:dyDescent="0.3">
      <c r="C42" s="329"/>
      <c r="D42" s="329"/>
    </row>
    <row r="43" spans="2:7" ht="15.65" hidden="1" customHeight="1" x14ac:dyDescent="0.3">
      <c r="C43" s="329"/>
      <c r="D43" s="329"/>
    </row>
    <row r="44" spans="2:7" ht="15" hidden="1" customHeight="1" x14ac:dyDescent="0.3">
      <c r="C44" s="329"/>
      <c r="D44" s="329"/>
    </row>
    <row r="45" spans="2:7" ht="15.65" hidden="1" customHeight="1" x14ac:dyDescent="0.3">
      <c r="C45" s="329"/>
      <c r="D45" s="329"/>
    </row>
    <row r="46" spans="2:7" ht="15.65" hidden="1" customHeight="1" x14ac:dyDescent="0.3">
      <c r="C46" s="329"/>
      <c r="D46" s="329"/>
    </row>
    <row r="47" spans="2:7" ht="15.65" hidden="1" customHeight="1" x14ac:dyDescent="0.3">
      <c r="C47" s="329"/>
      <c r="D47" s="329"/>
    </row>
    <row r="48" spans="2:7" ht="15" hidden="1" customHeight="1" x14ac:dyDescent="0.3"/>
    <row r="49" spans="3:4" ht="15.65" hidden="1" customHeight="1" x14ac:dyDescent="0.3"/>
    <row r="50" spans="3:4" ht="16.25" hidden="1" customHeight="1" x14ac:dyDescent="0.3"/>
    <row r="51" spans="3:4" ht="15.65" hidden="1" customHeight="1" x14ac:dyDescent="0.3"/>
    <row r="52" spans="3:4" ht="15" hidden="1" customHeight="1" x14ac:dyDescent="0.3">
      <c r="C52" s="329"/>
      <c r="D52" s="329"/>
    </row>
    <row r="53" spans="3:4" ht="15" hidden="1" customHeight="1" x14ac:dyDescent="0.3">
      <c r="C53" s="329"/>
      <c r="D53" s="329"/>
    </row>
    <row r="54" spans="3:4" ht="15" hidden="1" customHeight="1" x14ac:dyDescent="0.3">
      <c r="C54" s="329"/>
      <c r="D54" s="329"/>
    </row>
    <row r="55" spans="3:4" ht="15.65" hidden="1" customHeight="1" x14ac:dyDescent="0.3">
      <c r="C55" s="329"/>
      <c r="D55" s="329"/>
    </row>
    <row r="56" spans="3:4" ht="15" hidden="1" customHeight="1" x14ac:dyDescent="0.3">
      <c r="C56" s="329"/>
      <c r="D56" s="329"/>
    </row>
    <row r="57" spans="3:4" ht="15.65" hidden="1" customHeight="1" x14ac:dyDescent="0.3">
      <c r="C57" s="329"/>
      <c r="D57" s="329"/>
    </row>
    <row r="58" spans="3:4" ht="16.25" hidden="1" customHeight="1" x14ac:dyDescent="0.3">
      <c r="C58" s="329"/>
      <c r="D58" s="329"/>
    </row>
    <row r="59" spans="3:4" ht="15.65" hidden="1" customHeight="1" x14ac:dyDescent="0.3">
      <c r="C59" s="329"/>
      <c r="D59" s="329"/>
    </row>
    <row r="60" spans="3:4" ht="15.65" hidden="1" customHeight="1" x14ac:dyDescent="0.3">
      <c r="C60" s="329"/>
      <c r="D60" s="329"/>
    </row>
    <row r="61" spans="3:4" ht="15" hidden="1" customHeight="1" x14ac:dyDescent="0.3">
      <c r="C61" s="329"/>
      <c r="D61" s="329"/>
    </row>
    <row r="62" spans="3:4" ht="15" hidden="1" customHeight="1" x14ac:dyDescent="0.3">
      <c r="C62" s="329"/>
      <c r="D62" s="329"/>
    </row>
    <row r="63" spans="3:4" ht="15" hidden="1" customHeight="1" x14ac:dyDescent="0.3">
      <c r="C63" s="329"/>
      <c r="D63" s="329"/>
    </row>
    <row r="64" spans="3:4" ht="15.65" hidden="1" customHeight="1" x14ac:dyDescent="0.3">
      <c r="C64" s="329"/>
      <c r="D64" s="329"/>
    </row>
    <row r="65" spans="3:4" ht="16.25" hidden="1" customHeight="1" x14ac:dyDescent="0.3">
      <c r="C65" s="329"/>
      <c r="D65" s="329"/>
    </row>
    <row r="66" spans="3:4" ht="14" hidden="1" x14ac:dyDescent="0.3">
      <c r="C66" s="329"/>
      <c r="D66" s="329"/>
    </row>
    <row r="67" spans="3:4" ht="14" hidden="1" x14ac:dyDescent="0.3">
      <c r="C67" s="329"/>
      <c r="D67" s="329"/>
    </row>
    <row r="68" spans="3:4" ht="14" hidden="1" x14ac:dyDescent="0.3">
      <c r="C68" s="329"/>
      <c r="D68" s="329"/>
    </row>
    <row r="69" spans="3:4" ht="14" hidden="1" x14ac:dyDescent="0.3">
      <c r="C69" s="329"/>
      <c r="D69" s="329"/>
    </row>
    <row r="70" spans="3:4" ht="14" hidden="1" x14ac:dyDescent="0.3">
      <c r="C70" s="329"/>
      <c r="D70" s="329"/>
    </row>
    <row r="71" spans="3:4" ht="14" hidden="1" x14ac:dyDescent="0.3">
      <c r="C71" s="329"/>
      <c r="D71" s="329"/>
    </row>
    <row r="72" spans="3:4" ht="14" hidden="1" x14ac:dyDescent="0.3">
      <c r="C72" s="329"/>
      <c r="D72" s="329"/>
    </row>
    <row r="73" spans="3:4" ht="14" hidden="1" x14ac:dyDescent="0.3">
      <c r="C73" s="329"/>
      <c r="D73" s="329"/>
    </row>
    <row r="74" spans="3:4" ht="14" hidden="1" x14ac:dyDescent="0.3">
      <c r="C74" s="329"/>
      <c r="D74" s="329"/>
    </row>
    <row r="75" spans="3:4" ht="14" hidden="1" x14ac:dyDescent="0.3">
      <c r="C75" s="329"/>
      <c r="D75" s="329"/>
    </row>
    <row r="76" spans="3:4" ht="14" hidden="1" x14ac:dyDescent="0.3">
      <c r="C76" s="329"/>
      <c r="D76" s="329"/>
    </row>
    <row r="77" spans="3:4" ht="14" hidden="1" x14ac:dyDescent="0.3">
      <c r="C77" s="329"/>
      <c r="D77" s="329"/>
    </row>
    <row r="78" spans="3:4" ht="14" hidden="1" x14ac:dyDescent="0.3">
      <c r="C78" s="329"/>
      <c r="D78" s="329"/>
    </row>
    <row r="79" spans="3:4" ht="14" hidden="1" x14ac:dyDescent="0.3">
      <c r="C79" s="329"/>
      <c r="D79" s="329"/>
    </row>
    <row r="80" spans="3:4" ht="14" hidden="1" x14ac:dyDescent="0.3">
      <c r="C80" s="329"/>
      <c r="D80" s="329"/>
    </row>
    <row r="81" spans="3:4" ht="14" hidden="1" x14ac:dyDescent="0.3">
      <c r="C81" s="329"/>
      <c r="D81" s="329"/>
    </row>
    <row r="82" spans="3:4" ht="14" hidden="1" x14ac:dyDescent="0.3">
      <c r="C82" s="329"/>
      <c r="D82" s="329"/>
    </row>
    <row r="83" spans="3:4" ht="14" hidden="1" x14ac:dyDescent="0.3">
      <c r="C83" s="329"/>
      <c r="D83" s="329"/>
    </row>
    <row r="84" spans="3:4" ht="14" hidden="1" x14ac:dyDescent="0.3">
      <c r="C84" s="329"/>
      <c r="D84" s="329"/>
    </row>
    <row r="85" spans="3:4" ht="14" hidden="1" x14ac:dyDescent="0.3">
      <c r="C85" s="329"/>
      <c r="D85" s="329"/>
    </row>
    <row r="86" spans="3:4" ht="14" hidden="1" x14ac:dyDescent="0.3">
      <c r="C86" s="329"/>
      <c r="D86" s="329"/>
    </row>
    <row r="87" spans="3:4" ht="14" hidden="1" x14ac:dyDescent="0.3">
      <c r="C87" s="329"/>
      <c r="D87" s="329"/>
    </row>
    <row r="88" spans="3:4" ht="14" hidden="1" x14ac:dyDescent="0.3">
      <c r="C88" s="329"/>
      <c r="D88" s="329"/>
    </row>
    <row r="89" spans="3:4" ht="14" hidden="1" x14ac:dyDescent="0.3">
      <c r="C89" s="329"/>
      <c r="D89" s="329"/>
    </row>
    <row r="90" spans="3:4" ht="14" hidden="1" x14ac:dyDescent="0.3">
      <c r="C90" s="329"/>
      <c r="D90" s="329"/>
    </row>
    <row r="91" spans="3:4" ht="14" hidden="1" x14ac:dyDescent="0.3"/>
  </sheetData>
  <mergeCells count="5">
    <mergeCell ref="B9:B10"/>
    <mergeCell ref="C9:C10"/>
    <mergeCell ref="D9:D10"/>
    <mergeCell ref="E9:E10"/>
    <mergeCell ref="F9:F10"/>
  </mergeCells>
  <hyperlinks>
    <hyperlink ref="F3" location="Menu!A1" display="→Menu←" xr:uid="{DB23F75D-1DAB-452C-A5FA-2A1D3F4A8926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1645-BD79-4BA1-8FE5-7B9B267EFDAA}">
  <sheetPr>
    <tabColor theme="5" tint="0.79998168889431442"/>
  </sheetPr>
  <dimension ref="A1:W86"/>
  <sheetViews>
    <sheetView showGridLines="0" topLeftCell="A2" zoomScaleNormal="100" workbookViewId="0">
      <selection activeCell="A14" sqref="A14:XFD23"/>
    </sheetView>
  </sheetViews>
  <sheetFormatPr defaultColWidth="0" defaultRowHeight="14" customHeight="1" zeroHeight="1" x14ac:dyDescent="0.3"/>
  <cols>
    <col min="1" max="1" width="1" style="9" customWidth="1"/>
    <col min="2" max="2" width="18.1796875" style="230" bestFit="1" customWidth="1"/>
    <col min="3" max="12" width="10.81640625" style="230" customWidth="1"/>
    <col min="13" max="17" width="8.81640625" style="230" customWidth="1"/>
    <col min="18" max="18" width="0" style="230" hidden="1" customWidth="1"/>
    <col min="19" max="16384" width="8.81640625" style="230" hidden="1"/>
  </cols>
  <sheetData>
    <row r="1" spans="1:23" s="9" customFormat="1" ht="3.5" customHeight="1" thickBot="1" x14ac:dyDescent="0.35"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23" s="9" customFormat="1" x14ac:dyDescent="0.3">
      <c r="A2" s="149"/>
      <c r="B2" s="150"/>
      <c r="C2" s="151"/>
      <c r="D2" s="151"/>
      <c r="E2" s="151"/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4"/>
    </row>
    <row r="3" spans="1:23" s="9" customFormat="1" x14ac:dyDescent="0.3">
      <c r="A3" s="149"/>
      <c r="B3" s="155"/>
      <c r="C3" s="156" t="s">
        <v>0</v>
      </c>
      <c r="D3" s="157">
        <v>45291</v>
      </c>
      <c r="E3" s="156"/>
      <c r="F3" s="158" t="s">
        <v>1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9"/>
    </row>
    <row r="4" spans="1:23" s="9" customFormat="1" x14ac:dyDescent="0.3">
      <c r="A4" s="149"/>
      <c r="B4" s="155"/>
      <c r="C4" s="156" t="s">
        <v>2</v>
      </c>
      <c r="D4" s="160" t="s">
        <v>403</v>
      </c>
      <c r="E4" s="161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9"/>
    </row>
    <row r="5" spans="1:23" s="9" customFormat="1" ht="16" thickBot="1" x14ac:dyDescent="0.4">
      <c r="A5" s="149"/>
      <c r="B5" s="162"/>
      <c r="C5" s="163"/>
      <c r="D5" s="163"/>
      <c r="E5" s="163"/>
      <c r="F5" s="164"/>
      <c r="G5" s="164"/>
      <c r="H5" s="164"/>
      <c r="I5" s="19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5"/>
    </row>
    <row r="6" spans="1:23" s="9" customFormat="1" x14ac:dyDescent="0.3"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23" s="9" customFormat="1" ht="15" customHeight="1" x14ac:dyDescent="0.3">
      <c r="B7" s="228" t="s">
        <v>4</v>
      </c>
      <c r="C7" s="229"/>
      <c r="D7" s="229"/>
      <c r="E7" s="229"/>
      <c r="F7" s="228"/>
      <c r="G7" s="229"/>
      <c r="H7" s="229"/>
      <c r="I7" s="229"/>
      <c r="J7" s="229"/>
      <c r="K7" s="228"/>
      <c r="L7" s="229"/>
      <c r="M7" s="229"/>
      <c r="N7" s="229"/>
      <c r="O7" s="229"/>
      <c r="P7" s="229"/>
      <c r="Q7" s="229"/>
    </row>
    <row r="8" spans="1:23" x14ac:dyDescent="0.3">
      <c r="B8" s="338"/>
      <c r="C8" s="338"/>
      <c r="D8" s="338"/>
      <c r="E8" s="338"/>
      <c r="F8" s="338"/>
      <c r="G8" s="338"/>
      <c r="H8" s="338"/>
      <c r="I8" s="338"/>
      <c r="J8" s="338"/>
      <c r="K8" s="339"/>
    </row>
    <row r="9" spans="1:23" x14ac:dyDescent="0.3">
      <c r="B9" s="340" t="s">
        <v>314</v>
      </c>
      <c r="C9" s="341">
        <v>2024</v>
      </c>
      <c r="D9" s="341">
        <v>2025</v>
      </c>
      <c r="E9" s="341">
        <v>2026</v>
      </c>
      <c r="F9" s="341">
        <v>2027</v>
      </c>
      <c r="G9" s="341" t="s">
        <v>315</v>
      </c>
      <c r="H9" s="341" t="s">
        <v>316</v>
      </c>
      <c r="I9" s="341" t="s">
        <v>317</v>
      </c>
      <c r="J9" s="341" t="s">
        <v>318</v>
      </c>
      <c r="K9" s="339"/>
    </row>
    <row r="10" spans="1:23" ht="4.5" customHeight="1" x14ac:dyDescent="0.3">
      <c r="C10" s="342"/>
      <c r="D10" s="342"/>
      <c r="E10" s="342"/>
      <c r="F10" s="342"/>
      <c r="G10" s="342"/>
      <c r="H10" s="342"/>
      <c r="I10" s="342"/>
      <c r="J10" s="342"/>
      <c r="K10" s="339"/>
    </row>
    <row r="11" spans="1:23" x14ac:dyDescent="0.3">
      <c r="B11" s="343">
        <v>1772.027</v>
      </c>
      <c r="C11" s="344">
        <v>646.62603896773476</v>
      </c>
      <c r="D11" s="344">
        <v>985.42613113409959</v>
      </c>
      <c r="E11" s="344">
        <v>410.08437226574449</v>
      </c>
      <c r="F11" s="344">
        <v>814.71778824446983</v>
      </c>
      <c r="G11" s="344">
        <v>3366.5361051956247</v>
      </c>
      <c r="H11" s="344">
        <v>1721.3197385791466</v>
      </c>
      <c r="I11" s="344">
        <v>1116.7454346957945</v>
      </c>
      <c r="J11" s="344">
        <v>178.8387282920375</v>
      </c>
      <c r="K11" s="345">
        <v>0</v>
      </c>
    </row>
    <row r="12" spans="1:23" x14ac:dyDescent="0.3">
      <c r="K12" s="339"/>
    </row>
    <row r="13" spans="1:23" x14ac:dyDescent="0.3">
      <c r="K13" s="339"/>
    </row>
    <row r="14" spans="1:23" hidden="1" x14ac:dyDescent="0.3">
      <c r="C14" s="346"/>
      <c r="D14" s="346"/>
      <c r="J14" s="346"/>
      <c r="K14" s="346"/>
    </row>
    <row r="15" spans="1:23" hidden="1" x14ac:dyDescent="0.3">
      <c r="C15" s="346"/>
      <c r="D15" s="346"/>
      <c r="J15" s="346"/>
      <c r="K15" s="346"/>
    </row>
    <row r="16" spans="1:23" hidden="1" x14ac:dyDescent="0.3">
      <c r="C16" s="346"/>
      <c r="D16" s="346"/>
      <c r="J16" s="346"/>
      <c r="K16" s="346"/>
    </row>
    <row r="17" spans="3:11" hidden="1" x14ac:dyDescent="0.3">
      <c r="C17" s="346"/>
      <c r="D17" s="346"/>
      <c r="J17" s="346"/>
      <c r="K17" s="346"/>
    </row>
    <row r="18" spans="3:11" hidden="1" x14ac:dyDescent="0.3">
      <c r="C18" s="346"/>
      <c r="D18" s="346"/>
      <c r="J18" s="346"/>
      <c r="K18" s="346"/>
    </row>
    <row r="19" spans="3:11" hidden="1" x14ac:dyDescent="0.3">
      <c r="C19" s="346"/>
      <c r="D19" s="346"/>
      <c r="J19" s="346"/>
      <c r="K19" s="346"/>
    </row>
    <row r="20" spans="3:11" hidden="1" x14ac:dyDescent="0.3">
      <c r="C20" s="346"/>
      <c r="D20" s="346"/>
      <c r="J20" s="346"/>
      <c r="K20" s="346"/>
    </row>
    <row r="21" spans="3:11" hidden="1" x14ac:dyDescent="0.3">
      <c r="C21" s="346"/>
      <c r="D21" s="346"/>
      <c r="J21" s="346"/>
      <c r="K21" s="346"/>
    </row>
    <row r="22" spans="3:11" hidden="1" x14ac:dyDescent="0.3">
      <c r="C22" s="346"/>
      <c r="D22" s="346"/>
      <c r="J22" s="346"/>
      <c r="K22" s="346"/>
    </row>
    <row r="23" spans="3:11" hidden="1" x14ac:dyDescent="0.3">
      <c r="C23" s="346"/>
      <c r="D23" s="346"/>
      <c r="J23" s="346"/>
      <c r="K23" s="346"/>
    </row>
    <row r="24" spans="3:11" hidden="1" x14ac:dyDescent="0.3">
      <c r="C24" s="346"/>
      <c r="D24" s="346"/>
      <c r="J24" s="346"/>
      <c r="K24" s="346"/>
    </row>
    <row r="25" spans="3:11" hidden="1" x14ac:dyDescent="0.3">
      <c r="C25" s="346"/>
      <c r="D25" s="346"/>
      <c r="J25" s="346"/>
      <c r="K25" s="346"/>
    </row>
    <row r="26" spans="3:11" hidden="1" x14ac:dyDescent="0.3">
      <c r="C26" s="346"/>
      <c r="D26" s="346"/>
      <c r="J26" s="346"/>
      <c r="K26" s="346"/>
    </row>
    <row r="27" spans="3:11" hidden="1" x14ac:dyDescent="0.3">
      <c r="C27" s="346"/>
      <c r="D27" s="346"/>
      <c r="J27" s="346"/>
      <c r="K27" s="346"/>
    </row>
    <row r="28" spans="3:11" hidden="1" x14ac:dyDescent="0.3">
      <c r="C28" s="346"/>
      <c r="D28" s="346"/>
      <c r="J28" s="346"/>
      <c r="K28" s="346"/>
    </row>
    <row r="29" spans="3:11" hidden="1" x14ac:dyDescent="0.3">
      <c r="C29" s="346"/>
      <c r="D29" s="346"/>
      <c r="J29" s="346"/>
      <c r="K29" s="346"/>
    </row>
    <row r="30" spans="3:11" hidden="1" x14ac:dyDescent="0.3">
      <c r="C30" s="346"/>
      <c r="D30" s="346"/>
      <c r="J30" s="346"/>
      <c r="K30" s="346"/>
    </row>
    <row r="31" spans="3:11" hidden="1" x14ac:dyDescent="0.3">
      <c r="C31" s="346"/>
      <c r="D31" s="346"/>
      <c r="J31" s="346"/>
      <c r="K31" s="346"/>
    </row>
    <row r="32" spans="3:11" hidden="1" x14ac:dyDescent="0.3">
      <c r="C32" s="346"/>
      <c r="D32" s="346"/>
      <c r="J32" s="346"/>
      <c r="K32" s="346"/>
    </row>
    <row r="33" spans="3:11" hidden="1" x14ac:dyDescent="0.3">
      <c r="C33" s="346"/>
      <c r="D33" s="346"/>
      <c r="J33" s="346"/>
      <c r="K33" s="346"/>
    </row>
    <row r="34" spans="3:11" hidden="1" x14ac:dyDescent="0.3">
      <c r="J34" s="346"/>
      <c r="K34" s="346"/>
    </row>
    <row r="35" spans="3:11" hidden="1" x14ac:dyDescent="0.3">
      <c r="J35" s="346"/>
      <c r="K35" s="346"/>
    </row>
    <row r="36" spans="3:11" hidden="1" x14ac:dyDescent="0.3">
      <c r="J36" s="346"/>
      <c r="K36" s="346"/>
    </row>
    <row r="37" spans="3:11" hidden="1" x14ac:dyDescent="0.3">
      <c r="J37" s="346"/>
      <c r="K37" s="346"/>
    </row>
    <row r="38" spans="3:11" hidden="1" x14ac:dyDescent="0.3">
      <c r="C38" s="346"/>
      <c r="D38" s="346"/>
      <c r="J38" s="346"/>
      <c r="K38" s="346"/>
    </row>
    <row r="39" spans="3:11" hidden="1" x14ac:dyDescent="0.3">
      <c r="C39" s="346"/>
      <c r="D39" s="346"/>
      <c r="J39" s="346"/>
      <c r="K39" s="346"/>
    </row>
    <row r="40" spans="3:11" hidden="1" x14ac:dyDescent="0.3">
      <c r="C40" s="346"/>
      <c r="D40" s="346"/>
      <c r="J40" s="346"/>
      <c r="K40" s="346"/>
    </row>
    <row r="41" spans="3:11" hidden="1" x14ac:dyDescent="0.3">
      <c r="C41" s="346"/>
      <c r="D41" s="346"/>
      <c r="J41" s="346"/>
      <c r="K41" s="346"/>
    </row>
    <row r="42" spans="3:11" hidden="1" x14ac:dyDescent="0.3">
      <c r="C42" s="346"/>
      <c r="D42" s="346"/>
      <c r="J42" s="346"/>
      <c r="K42" s="346"/>
    </row>
    <row r="43" spans="3:11" hidden="1" x14ac:dyDescent="0.3">
      <c r="C43" s="346"/>
      <c r="D43" s="346"/>
      <c r="J43" s="346"/>
      <c r="K43" s="346"/>
    </row>
    <row r="44" spans="3:11" hidden="1" x14ac:dyDescent="0.3">
      <c r="C44" s="346"/>
      <c r="D44" s="346"/>
      <c r="J44" s="346"/>
      <c r="K44" s="346"/>
    </row>
    <row r="45" spans="3:11" hidden="1" x14ac:dyDescent="0.3">
      <c r="C45" s="346"/>
      <c r="D45" s="346"/>
      <c r="J45" s="346"/>
      <c r="K45" s="346"/>
    </row>
    <row r="46" spans="3:11" hidden="1" x14ac:dyDescent="0.3">
      <c r="C46" s="346"/>
      <c r="D46" s="346"/>
      <c r="J46" s="346"/>
      <c r="K46" s="346"/>
    </row>
    <row r="47" spans="3:11" hidden="1" x14ac:dyDescent="0.3">
      <c r="C47" s="346"/>
      <c r="D47" s="346"/>
      <c r="J47" s="346"/>
      <c r="K47" s="346"/>
    </row>
    <row r="48" spans="3:11" hidden="1" x14ac:dyDescent="0.3">
      <c r="C48" s="346"/>
      <c r="D48" s="346"/>
      <c r="J48" s="346"/>
      <c r="K48" s="346"/>
    </row>
    <row r="49" spans="3:11" hidden="1" x14ac:dyDescent="0.3">
      <c r="C49" s="346"/>
      <c r="D49" s="346"/>
      <c r="J49" s="346"/>
      <c r="K49" s="346"/>
    </row>
    <row r="50" spans="3:11" hidden="1" x14ac:dyDescent="0.3">
      <c r="C50" s="346"/>
      <c r="D50" s="346"/>
      <c r="J50" s="346"/>
      <c r="K50" s="346"/>
    </row>
    <row r="51" spans="3:11" hidden="1" x14ac:dyDescent="0.3">
      <c r="C51" s="346"/>
      <c r="D51" s="346"/>
      <c r="J51" s="346"/>
      <c r="K51" s="346"/>
    </row>
    <row r="52" spans="3:11" hidden="1" x14ac:dyDescent="0.3">
      <c r="C52" s="346"/>
      <c r="D52" s="346"/>
      <c r="J52" s="346"/>
      <c r="K52" s="346"/>
    </row>
    <row r="53" spans="3:11" hidden="1" x14ac:dyDescent="0.3">
      <c r="C53" s="346"/>
      <c r="D53" s="346"/>
      <c r="J53" s="346"/>
      <c r="K53" s="346"/>
    </row>
    <row r="54" spans="3:11" hidden="1" x14ac:dyDescent="0.3">
      <c r="C54" s="346"/>
      <c r="D54" s="346"/>
      <c r="J54" s="346"/>
      <c r="K54" s="346"/>
    </row>
    <row r="55" spans="3:11" hidden="1" x14ac:dyDescent="0.3">
      <c r="C55" s="346"/>
      <c r="D55" s="346"/>
      <c r="J55" s="346"/>
      <c r="K55" s="346"/>
    </row>
    <row r="56" spans="3:11" hidden="1" x14ac:dyDescent="0.3">
      <c r="C56" s="346"/>
      <c r="D56" s="346"/>
      <c r="J56" s="346"/>
      <c r="K56" s="346"/>
    </row>
    <row r="57" spans="3:11" hidden="1" x14ac:dyDescent="0.3">
      <c r="C57" s="346"/>
      <c r="D57" s="346"/>
      <c r="J57" s="346"/>
      <c r="K57" s="346"/>
    </row>
    <row r="58" spans="3:11" hidden="1" x14ac:dyDescent="0.3">
      <c r="C58" s="346"/>
      <c r="D58" s="346"/>
      <c r="J58" s="346"/>
      <c r="K58" s="346"/>
    </row>
    <row r="59" spans="3:11" hidden="1" x14ac:dyDescent="0.3">
      <c r="C59" s="346"/>
      <c r="D59" s="346"/>
      <c r="J59" s="346"/>
      <c r="K59" s="346"/>
    </row>
    <row r="60" spans="3:11" hidden="1" x14ac:dyDescent="0.3">
      <c r="C60" s="346"/>
      <c r="D60" s="346"/>
      <c r="J60" s="346"/>
      <c r="K60" s="346"/>
    </row>
    <row r="61" spans="3:11" hidden="1" x14ac:dyDescent="0.3">
      <c r="C61" s="346"/>
      <c r="D61" s="346"/>
      <c r="J61" s="346"/>
      <c r="K61" s="346"/>
    </row>
    <row r="62" spans="3:11" hidden="1" x14ac:dyDescent="0.3">
      <c r="C62" s="346"/>
      <c r="D62" s="346"/>
      <c r="J62" s="346"/>
      <c r="K62" s="346"/>
    </row>
    <row r="63" spans="3:11" hidden="1" x14ac:dyDescent="0.3">
      <c r="C63" s="346"/>
      <c r="D63" s="346"/>
      <c r="J63" s="346"/>
      <c r="K63" s="346"/>
    </row>
    <row r="64" spans="3:11" hidden="1" x14ac:dyDescent="0.3">
      <c r="C64" s="346"/>
      <c r="D64" s="346"/>
      <c r="J64" s="346"/>
      <c r="K64" s="346"/>
    </row>
    <row r="65" spans="3:11" hidden="1" x14ac:dyDescent="0.3">
      <c r="C65" s="346"/>
      <c r="D65" s="346"/>
      <c r="J65" s="346"/>
      <c r="K65" s="346"/>
    </row>
    <row r="66" spans="3:11" hidden="1" x14ac:dyDescent="0.3">
      <c r="C66" s="346"/>
      <c r="D66" s="346"/>
      <c r="J66" s="346"/>
      <c r="K66" s="346"/>
    </row>
    <row r="67" spans="3:11" hidden="1" x14ac:dyDescent="0.3">
      <c r="C67" s="346"/>
      <c r="D67" s="346"/>
      <c r="J67" s="346"/>
      <c r="K67" s="346"/>
    </row>
    <row r="68" spans="3:11" hidden="1" x14ac:dyDescent="0.3">
      <c r="C68" s="346"/>
      <c r="D68" s="346"/>
      <c r="J68" s="346"/>
      <c r="K68" s="346"/>
    </row>
    <row r="69" spans="3:11" hidden="1" x14ac:dyDescent="0.3">
      <c r="C69" s="346"/>
      <c r="D69" s="346"/>
      <c r="J69" s="346"/>
      <c r="K69" s="346"/>
    </row>
    <row r="70" spans="3:11" hidden="1" x14ac:dyDescent="0.3">
      <c r="C70" s="346"/>
      <c r="D70" s="346"/>
      <c r="J70" s="346"/>
      <c r="K70" s="346"/>
    </row>
    <row r="71" spans="3:11" hidden="1" x14ac:dyDescent="0.3">
      <c r="C71" s="346"/>
      <c r="D71" s="346"/>
      <c r="J71" s="346"/>
      <c r="K71" s="346"/>
    </row>
    <row r="72" spans="3:11" hidden="1" x14ac:dyDescent="0.3">
      <c r="C72" s="346"/>
      <c r="D72" s="346"/>
      <c r="J72" s="346"/>
      <c r="K72" s="346"/>
    </row>
    <row r="73" spans="3:11" hidden="1" x14ac:dyDescent="0.3">
      <c r="C73" s="346"/>
      <c r="D73" s="346"/>
      <c r="J73" s="346"/>
      <c r="K73" s="346"/>
    </row>
    <row r="74" spans="3:11" hidden="1" x14ac:dyDescent="0.3">
      <c r="C74" s="346"/>
      <c r="D74" s="346"/>
      <c r="J74" s="346"/>
      <c r="K74" s="346"/>
    </row>
    <row r="75" spans="3:11" hidden="1" x14ac:dyDescent="0.3">
      <c r="C75" s="346"/>
      <c r="D75" s="346"/>
      <c r="J75" s="346"/>
      <c r="K75" s="346"/>
    </row>
    <row r="76" spans="3:11" hidden="1" x14ac:dyDescent="0.3">
      <c r="C76" s="346"/>
      <c r="D76" s="346"/>
      <c r="J76" s="346"/>
      <c r="K76" s="346"/>
    </row>
    <row r="77" spans="3:11" ht="14" customHeight="1" x14ac:dyDescent="0.3"/>
    <row r="78" spans="3:11" ht="14" customHeight="1" x14ac:dyDescent="0.3"/>
    <row r="79" spans="3:11" ht="14" customHeight="1" x14ac:dyDescent="0.3"/>
    <row r="80" spans="3:11" ht="14" customHeight="1" x14ac:dyDescent="0.3"/>
    <row r="81" ht="14" customHeight="1" x14ac:dyDescent="0.3"/>
    <row r="82" ht="14" customHeight="1" x14ac:dyDescent="0.3"/>
    <row r="83" ht="14" customHeight="1" x14ac:dyDescent="0.3"/>
    <row r="84" ht="14" customHeight="1" x14ac:dyDescent="0.3"/>
    <row r="85" ht="14" customHeight="1" x14ac:dyDescent="0.3"/>
    <row r="86" ht="14" customHeight="1" x14ac:dyDescent="0.3"/>
  </sheetData>
  <hyperlinks>
    <hyperlink ref="F3" location="Menu!A1" display="→Menu←" xr:uid="{A8A45227-5DE2-4731-A927-6474A19EB372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Receita</vt:lpstr>
      <vt:lpstr>Custos e Despesas</vt:lpstr>
      <vt:lpstr>Equivalência Patrimonial</vt:lpstr>
      <vt:lpstr>DRE Reg</vt:lpstr>
      <vt:lpstr>DFC Reg</vt:lpstr>
      <vt:lpstr>Balanço Reg</vt:lpstr>
      <vt:lpstr>Dívida_Consolidado</vt:lpstr>
      <vt:lpstr>Dívida_Coligadas</vt:lpstr>
      <vt:lpstr>Amortização</vt:lpstr>
      <vt:lpstr>DRE IFRS</vt:lpstr>
      <vt:lpstr>DRE IFRS (DFP)</vt:lpstr>
      <vt:lpstr>Balanço IFRS (DFP)</vt:lpstr>
      <vt:lpstr>Balanço IFRS</vt:lpstr>
      <vt:lpstr>DFC IFRS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Geromel</dc:creator>
  <cp:lastModifiedBy>Victor Raimundo Penteado</cp:lastModifiedBy>
  <dcterms:created xsi:type="dcterms:W3CDTF">2024-02-08T19:52:11Z</dcterms:created>
  <dcterms:modified xsi:type="dcterms:W3CDTF">2024-02-20T22:52:50Z</dcterms:modified>
</cp:coreProperties>
</file>